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erroampse-my.sharepoint.com/personal/mattias_stragne_ferroamp_se/Documents/Skrivbordet/"/>
    </mc:Choice>
  </mc:AlternateContent>
  <xr:revisionPtr revIDLastSave="0" documentId="8_{75E44D3B-E5FD-4B07-AA6D-DE646532DC9C}" xr6:coauthVersionLast="47" xr6:coauthVersionMax="47" xr10:uidLastSave="{00000000-0000-0000-0000-000000000000}"/>
  <workbookProtection workbookAlgorithmName="SHA-512" workbookHashValue="Ws7q8Vi6yJr17211HAhE+ft72SZbuBcMZyLigprbLzAcaEspf2P3LsEFRPIKXzSGLxK6mcV0YnLIQyd07dMzQQ==" workbookSaltValue="SuRMLYF4NBWEcsGoQa42Sw==" workbookSpinCount="100000" lockStructure="1"/>
  <bookViews>
    <workbookView xWindow="-110" yWindow="-110" windowWidth="19420" windowHeight="10300" xr2:uid="{ADFC4782-4AB0-4AD4-B055-901929249420}"/>
  </bookViews>
  <sheets>
    <sheet name="Ferroamp system MED Batteri" sheetId="10" r:id="rId1"/>
    <sheet name="Ferroamp system UTAN Batteri" sheetId="8" r:id="rId2"/>
    <sheet name="Blad1" sheetId="9" state="hidden" r:id="rId3"/>
    <sheet name="Blad1batt" sheetId="12" state="hidden" r:id="rId4"/>
  </sheets>
  <definedNames>
    <definedName name="kWh">'Ferroamp system MED Batteri'!$E$15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0" l="1"/>
  <c r="B6" i="9"/>
  <c r="B6" i="12"/>
  <c r="E11" i="10" l="1"/>
  <c r="F47" i="12" s="1"/>
  <c r="F14" i="8"/>
  <c r="C28" i="12"/>
  <c r="C18" i="12"/>
  <c r="B5" i="12"/>
  <c r="B4" i="12" s="1"/>
  <c r="B3" i="12" s="1"/>
  <c r="F2" i="12" s="1"/>
  <c r="F4" i="12" s="1"/>
  <c r="L18" i="9"/>
  <c r="L27" i="9" s="1"/>
  <c r="I18" i="9"/>
  <c r="I32" i="9" s="1"/>
  <c r="F18" i="9"/>
  <c r="F27" i="9" s="1"/>
  <c r="C18" i="9"/>
  <c r="D27" i="9" s="1"/>
  <c r="B5" i="9"/>
  <c r="B4" i="9" s="1"/>
  <c r="B3" i="9" s="1"/>
  <c r="F2" i="9" s="1"/>
  <c r="F4" i="9" s="1"/>
  <c r="C36" i="12" l="1"/>
  <c r="G10" i="10"/>
  <c r="D36" i="12"/>
  <c r="C24" i="12"/>
  <c r="C23" i="12" s="1"/>
  <c r="C22" i="12" s="1"/>
  <c r="C21" i="12" s="1"/>
  <c r="C20" i="12" s="1"/>
  <c r="C13" i="12"/>
  <c r="C12" i="12" s="1"/>
  <c r="E9" i="10"/>
  <c r="F9" i="8"/>
  <c r="C14" i="9"/>
  <c r="I41" i="9"/>
  <c r="I40" i="9"/>
  <c r="I39" i="9" s="1"/>
  <c r="I38" i="9" s="1"/>
  <c r="I37" i="9" s="1"/>
  <c r="I36" i="9" s="1"/>
  <c r="I35" i="9" s="1"/>
  <c r="I34" i="9" s="1"/>
  <c r="I33" i="9" s="1"/>
  <c r="I31" i="9" s="1"/>
  <c r="F35" i="8" s="1"/>
  <c r="I43" i="9"/>
  <c r="I58" i="9"/>
  <c r="I56" i="9"/>
  <c r="I55" i="9" s="1"/>
  <c r="I54" i="9" s="1"/>
  <c r="I53" i="9" s="1"/>
  <c r="I52" i="9" s="1"/>
  <c r="I51" i="9" s="1"/>
  <c r="I50" i="9" s="1"/>
  <c r="I49" i="9" s="1"/>
  <c r="I48" i="9" s="1"/>
  <c r="I46" i="9" s="1"/>
  <c r="F40" i="8" s="1"/>
  <c r="I57" i="9"/>
  <c r="I47" i="9"/>
  <c r="I42" i="9"/>
  <c r="F32" i="9"/>
  <c r="C13" i="9"/>
  <c r="C12" i="9" s="1"/>
  <c r="C11" i="9" s="1"/>
  <c r="C10" i="9" s="1"/>
  <c r="J10" i="8" s="1"/>
  <c r="I10" i="8" s="1"/>
  <c r="C32" i="9"/>
  <c r="L32" i="9"/>
  <c r="I26" i="9"/>
  <c r="C26" i="9"/>
  <c r="C25" i="9" s="1"/>
  <c r="C24" i="9" s="1"/>
  <c r="C23" i="9" s="1"/>
  <c r="C22" i="9" s="1"/>
  <c r="C21" i="9" s="1"/>
  <c r="C20" i="9" s="1"/>
  <c r="C19" i="9" s="1"/>
  <c r="C27" i="9"/>
  <c r="F26" i="9"/>
  <c r="F25" i="9" s="1"/>
  <c r="F24" i="9" s="1"/>
  <c r="L26" i="9"/>
  <c r="L25" i="9" s="1"/>
  <c r="L24" i="9" s="1"/>
  <c r="L23" i="9" s="1"/>
  <c r="L22" i="9" s="1"/>
  <c r="L21" i="9" s="1"/>
  <c r="L20" i="9" s="1"/>
  <c r="L19" i="9" s="1"/>
  <c r="I25" i="9"/>
  <c r="I24" i="9" s="1"/>
  <c r="I27" i="9"/>
  <c r="M27" i="9"/>
  <c r="M26" i="9" s="1"/>
  <c r="M25" i="9" s="1"/>
  <c r="M24" i="9" s="1"/>
  <c r="M23" i="9" s="1"/>
  <c r="M22" i="9" s="1"/>
  <c r="M21" i="9" s="1"/>
  <c r="M20" i="9" s="1"/>
  <c r="M19" i="9" s="1"/>
  <c r="Q13" i="8" s="1"/>
  <c r="G27" i="9"/>
  <c r="G26" i="9" s="1"/>
  <c r="G25" i="9" s="1"/>
  <c r="G24" i="9" s="1"/>
  <c r="G23" i="9" s="1"/>
  <c r="G22" i="9" s="1"/>
  <c r="G21" i="9" s="1"/>
  <c r="G20" i="9" s="1"/>
  <c r="G19" i="9" s="1"/>
  <c r="Q11" i="8" s="1"/>
  <c r="J27" i="9"/>
  <c r="J26" i="9" s="1"/>
  <c r="J25" i="9" s="1"/>
  <c r="J24" i="9" s="1"/>
  <c r="J23" i="9" s="1"/>
  <c r="J22" i="9" s="1"/>
  <c r="J21" i="9" s="1"/>
  <c r="J20" i="9" s="1"/>
  <c r="J19" i="9" s="1"/>
  <c r="Q12" i="8" s="1"/>
  <c r="D26" i="9"/>
  <c r="D25" i="9" s="1"/>
  <c r="D24" i="9" s="1"/>
  <c r="D23" i="9" s="1"/>
  <c r="D22" i="9" s="1"/>
  <c r="D21" i="9" s="1"/>
  <c r="D20" i="9" s="1"/>
  <c r="D19" i="9" s="1"/>
  <c r="Q10" i="8" s="1"/>
  <c r="F6" i="9"/>
  <c r="F5" i="9"/>
  <c r="F7" i="9"/>
  <c r="C11" i="12" l="1"/>
  <c r="C10" i="12" s="1"/>
  <c r="C35" i="12"/>
  <c r="C34" i="12" s="1"/>
  <c r="C33" i="12" s="1"/>
  <c r="C32" i="12" s="1"/>
  <c r="C31" i="12" s="1"/>
  <c r="C30" i="12" s="1"/>
  <c r="G13" i="10" s="1"/>
  <c r="D35" i="12"/>
  <c r="D34" i="12" s="1"/>
  <c r="D33" i="12" s="1"/>
  <c r="D32" i="12" s="1"/>
  <c r="D31" i="12" s="1"/>
  <c r="D30" i="12" s="1"/>
  <c r="H13" i="10" s="1"/>
  <c r="C19" i="12"/>
  <c r="C17" i="12" s="1"/>
  <c r="E17" i="10"/>
  <c r="I14" i="9"/>
  <c r="F14" i="9"/>
  <c r="F13" i="9" s="1"/>
  <c r="F12" i="9" s="1"/>
  <c r="F11" i="9" s="1"/>
  <c r="L43" i="9"/>
  <c r="L42" i="9" s="1"/>
  <c r="L41" i="9" s="1"/>
  <c r="L40" i="9" s="1"/>
  <c r="L39" i="9" s="1"/>
  <c r="L38" i="9" s="1"/>
  <c r="L37" i="9" s="1"/>
  <c r="L36" i="9" s="1"/>
  <c r="L35" i="9" s="1"/>
  <c r="L34" i="9" s="1"/>
  <c r="L33" i="9" s="1"/>
  <c r="L31" i="9" s="1"/>
  <c r="F36" i="8" s="1"/>
  <c r="L58" i="9"/>
  <c r="L57" i="9"/>
  <c r="L56" i="9" s="1"/>
  <c r="L55" i="9" s="1"/>
  <c r="L54" i="9" s="1"/>
  <c r="L53" i="9" s="1"/>
  <c r="L52" i="9" s="1"/>
  <c r="L51" i="9" s="1"/>
  <c r="L50" i="9" s="1"/>
  <c r="L49" i="9" s="1"/>
  <c r="L48" i="9" s="1"/>
  <c r="L46" i="9" s="1"/>
  <c r="F41" i="8" s="1"/>
  <c r="L47" i="9"/>
  <c r="I13" i="9"/>
  <c r="I12" i="9" s="1"/>
  <c r="I11" i="9" s="1"/>
  <c r="F47" i="9"/>
  <c r="F43" i="9"/>
  <c r="F42" i="9" s="1"/>
  <c r="F41" i="9" s="1"/>
  <c r="F40" i="9" s="1"/>
  <c r="F39" i="9" s="1"/>
  <c r="F38" i="9" s="1"/>
  <c r="F37" i="9" s="1"/>
  <c r="F36" i="9" s="1"/>
  <c r="F35" i="9" s="1"/>
  <c r="F34" i="9" s="1"/>
  <c r="F33" i="9" s="1"/>
  <c r="F31" i="9" s="1"/>
  <c r="F34" i="8" s="1"/>
  <c r="F58" i="9"/>
  <c r="F57" i="9" s="1"/>
  <c r="F56" i="9" s="1"/>
  <c r="F55" i="9" s="1"/>
  <c r="F54" i="9" s="1"/>
  <c r="F53" i="9" s="1"/>
  <c r="F52" i="9" s="1"/>
  <c r="F51" i="9" s="1"/>
  <c r="F50" i="9" s="1"/>
  <c r="F49" i="9" s="1"/>
  <c r="F48" i="9" s="1"/>
  <c r="F46" i="9" s="1"/>
  <c r="F39" i="8" s="1"/>
  <c r="C55" i="9"/>
  <c r="C57" i="9"/>
  <c r="C41" i="9"/>
  <c r="C58" i="9"/>
  <c r="C42" i="9"/>
  <c r="C54" i="9"/>
  <c r="C40" i="9"/>
  <c r="C53" i="9"/>
  <c r="C47" i="9"/>
  <c r="C39" i="9"/>
  <c r="C38" i="9" s="1"/>
  <c r="C37" i="9" s="1"/>
  <c r="C36" i="9" s="1"/>
  <c r="C35" i="9" s="1"/>
  <c r="C34" i="9" s="1"/>
  <c r="C33" i="9" s="1"/>
  <c r="C31" i="9" s="1"/>
  <c r="F33" i="8" s="1"/>
  <c r="C52" i="9"/>
  <c r="C51" i="9" s="1"/>
  <c r="C50" i="9" s="1"/>
  <c r="C49" i="9" s="1"/>
  <c r="C48" i="9" s="1"/>
  <c r="C46" i="9" s="1"/>
  <c r="F38" i="8" s="1"/>
  <c r="C43" i="9"/>
  <c r="C56" i="9"/>
  <c r="L14" i="9"/>
  <c r="L13" i="9" s="1"/>
  <c r="L12" i="9" s="1"/>
  <c r="L11" i="9" s="1"/>
  <c r="F23" i="9"/>
  <c r="F22" i="9" s="1"/>
  <c r="F21" i="9" s="1"/>
  <c r="F20" i="9" s="1"/>
  <c r="F19" i="9" s="1"/>
  <c r="I23" i="9"/>
  <c r="I22" i="9" s="1"/>
  <c r="I21" i="9" s="1"/>
  <c r="I20" i="9" s="1"/>
  <c r="I19" i="9" s="1"/>
  <c r="F27" i="8"/>
  <c r="J27" i="8" s="1"/>
  <c r="F28" i="8"/>
  <c r="J28" i="8" s="1"/>
  <c r="H10" i="10" l="1"/>
  <c r="E18" i="10"/>
  <c r="H18" i="10" s="1"/>
  <c r="J13" i="10"/>
  <c r="K13" i="10"/>
  <c r="H17" i="10"/>
  <c r="E25" i="10"/>
  <c r="H25" i="10" s="1"/>
  <c r="E24" i="10"/>
  <c r="H24" i="10" s="1"/>
  <c r="C61" i="12"/>
  <c r="C72" i="12" s="1"/>
  <c r="C71" i="12" s="1"/>
  <c r="C70" i="12" s="1"/>
  <c r="C69" i="12" s="1"/>
  <c r="C68" i="12" s="1"/>
  <c r="C67" i="12" s="1"/>
  <c r="C66" i="12" s="1"/>
  <c r="C65" i="12" s="1"/>
  <c r="C64" i="12" s="1"/>
  <c r="C63" i="12" s="1"/>
  <c r="C62" i="12" s="1"/>
  <c r="C60" i="12" s="1"/>
  <c r="E31" i="10" s="1"/>
  <c r="F48" i="12"/>
  <c r="H46" i="12" s="1"/>
  <c r="C46" i="12" s="1"/>
  <c r="L10" i="10"/>
  <c r="F10" i="9"/>
  <c r="J11" i="8" s="1"/>
  <c r="I11" i="8" s="1"/>
  <c r="I10" i="9"/>
  <c r="J12" i="8" s="1"/>
  <c r="I12" i="8" s="1"/>
  <c r="L10" i="9"/>
  <c r="J13" i="8" s="1"/>
  <c r="I13" i="8" s="1"/>
  <c r="C17" i="9"/>
  <c r="P10" i="8" s="1"/>
  <c r="F17" i="9"/>
  <c r="P11" i="8" s="1"/>
  <c r="O11" i="8" s="1"/>
  <c r="I17" i="9"/>
  <c r="P12" i="8" s="1"/>
  <c r="O12" i="8" s="1"/>
  <c r="L17" i="9"/>
  <c r="P13" i="8" s="1"/>
  <c r="F46" i="12" l="1"/>
  <c r="G46" i="12" s="1"/>
  <c r="E19" i="10"/>
  <c r="H19" i="10" s="1"/>
  <c r="E26" i="10"/>
  <c r="H26" i="10" s="1"/>
  <c r="C57" i="12"/>
  <c r="C56" i="12" s="1"/>
  <c r="C55" i="12" s="1"/>
  <c r="C54" i="12" s="1"/>
  <c r="C53" i="12" s="1"/>
  <c r="C52" i="12" s="1"/>
  <c r="C51" i="12" s="1"/>
  <c r="C50" i="12" s="1"/>
  <c r="C49" i="12" s="1"/>
  <c r="C48" i="12" s="1"/>
  <c r="C47" i="12" s="1"/>
  <c r="C45" i="12" s="1"/>
  <c r="E30" i="10" s="1"/>
  <c r="K10" i="10"/>
  <c r="E22" i="10" s="1"/>
  <c r="H22" i="10" s="1"/>
  <c r="J10" i="10"/>
  <c r="E21" i="10" s="1"/>
  <c r="H21" i="10" s="1"/>
  <c r="I10" i="10"/>
  <c r="E20" i="10" s="1"/>
  <c r="R13" i="8"/>
  <c r="O13" i="8"/>
  <c r="F17" i="8"/>
  <c r="F20" i="8"/>
  <c r="J20" i="8" s="1"/>
  <c r="F18" i="8"/>
  <c r="J18" i="8" s="1"/>
  <c r="F19" i="8"/>
  <c r="J19" i="8" s="1"/>
  <c r="R11" i="8"/>
  <c r="R12" i="8"/>
  <c r="O10" i="8"/>
  <c r="R10" i="8"/>
  <c r="M13" i="8"/>
  <c r="L13" i="8"/>
  <c r="K13" i="8"/>
  <c r="N13" i="8"/>
  <c r="N11" i="8"/>
  <c r="K11" i="8"/>
  <c r="M11" i="8"/>
  <c r="L11" i="8"/>
  <c r="L12" i="8"/>
  <c r="K12" i="8"/>
  <c r="M12" i="8"/>
  <c r="N12" i="8"/>
  <c r="L10" i="8"/>
  <c r="N10" i="8"/>
  <c r="M10" i="8"/>
  <c r="K10" i="8"/>
  <c r="F26" i="8"/>
  <c r="J26" i="8" s="1"/>
  <c r="J17" i="8" l="1"/>
  <c r="H20" i="10"/>
  <c r="E23" i="10"/>
  <c r="H23" i="10" s="1"/>
  <c r="F21" i="8"/>
  <c r="J21" i="8" s="1"/>
  <c r="F22" i="8"/>
  <c r="J22" i="8" s="1"/>
  <c r="F23" i="8"/>
  <c r="J23" i="8" s="1"/>
  <c r="F24" i="8"/>
  <c r="J24" i="8" s="1"/>
  <c r="F25" i="8"/>
  <c r="J25" i="8" s="1"/>
  <c r="H27" i="10" l="1"/>
  <c r="F29" i="8"/>
  <c r="E27" i="10"/>
  <c r="J29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F9BD41F-FF1E-492C-B93F-CB97BF1AD875}" keepAlive="1" name="Fråga - Tabell1" description="Anslutning till Tabell1-frågan i arbetsboken." type="5" refreshedVersion="0" background="1" saveData="1">
    <dbPr connection="Provider=Microsoft.Mashup.OleDb.1;Data Source=$Workbook$;Location=Tabell1;Extended Properties=&quot;&quot;" command="SELECT * FROM [Tabell1]"/>
  </connection>
</connections>
</file>

<file path=xl/sharedStrings.xml><?xml version="1.0" encoding="utf-8"?>
<sst xmlns="http://schemas.openxmlformats.org/spreadsheetml/2006/main" count="236" uniqueCount="123">
  <si>
    <t>Dimensioneringssverktyg för att planera en Ferroampinstallation MED Pylontech H3 energilager upp till 30,7 kWh och max 7 st SSO'er</t>
  </si>
  <si>
    <t>Input - Solpaneler</t>
  </si>
  <si>
    <r>
      <t>Solpanel - V</t>
    </r>
    <r>
      <rPr>
        <sz val="8"/>
        <rFont val="DM Sans"/>
      </rPr>
      <t>mpp</t>
    </r>
    <r>
      <rPr>
        <sz val="10"/>
        <rFont val="DM Sans"/>
      </rPr>
      <t xml:space="preserve"> (STC)</t>
    </r>
  </si>
  <si>
    <t>V</t>
  </si>
  <si>
    <r>
      <t>Solpanel - I</t>
    </r>
    <r>
      <rPr>
        <sz val="8"/>
        <rFont val="DM Sans"/>
      </rPr>
      <t>mpp</t>
    </r>
    <r>
      <rPr>
        <sz val="10"/>
        <rFont val="DM Sans"/>
      </rPr>
      <t xml:space="preserve"> (STC)</t>
    </r>
    <r>
      <rPr>
        <i/>
        <sz val="10"/>
        <color theme="0" tint="-0.34998626667073579"/>
        <rFont val="DM Sans"/>
      </rPr>
      <t xml:space="preserve"> (max 14A)</t>
    </r>
  </si>
  <si>
    <t>A</t>
  </si>
  <si>
    <t>Antal SSO'er</t>
  </si>
  <si>
    <t>Distributionslåda</t>
  </si>
  <si>
    <t>EnergyHub per hus</t>
  </si>
  <si>
    <t>Antal paneler per SSO</t>
  </si>
  <si>
    <t>st</t>
  </si>
  <si>
    <t>W14</t>
  </si>
  <si>
    <t>W21</t>
  </si>
  <si>
    <t>W28</t>
  </si>
  <si>
    <t>EnergyHub</t>
  </si>
  <si>
    <t>Antal paneler</t>
  </si>
  <si>
    <t>Total kWp</t>
  </si>
  <si>
    <t>kWp</t>
  </si>
  <si>
    <t>Input - Batteri</t>
  </si>
  <si>
    <t>5,12 kWh</t>
  </si>
  <si>
    <t>Main Controller</t>
  </si>
  <si>
    <t>ESO</t>
  </si>
  <si>
    <t>kW</t>
  </si>
  <si>
    <t>kWh</t>
  </si>
  <si>
    <t>Antal H3 moduler á 5,12kWh (max 6st)</t>
  </si>
  <si>
    <t>Antal ESO (max 2st)</t>
  </si>
  <si>
    <t>Produktlista</t>
  </si>
  <si>
    <t>e-nummer</t>
  </si>
  <si>
    <t>Pris per produkt</t>
  </si>
  <si>
    <t>Totalt pris</t>
  </si>
  <si>
    <t>SSO'er</t>
  </si>
  <si>
    <t>DC box-5</t>
  </si>
  <si>
    <t>PowerCase</t>
  </si>
  <si>
    <t>EnergyHub Wall 14</t>
  </si>
  <si>
    <t>EnergyHub Wall 21</t>
  </si>
  <si>
    <t>EnergyHub Wall 28</t>
  </si>
  <si>
    <t>Sammankopplingskit</t>
  </si>
  <si>
    <t>H3 Batterimoduler 5,12kWh</t>
  </si>
  <si>
    <t>H3 Main Controller</t>
  </si>
  <si>
    <t>ESO'er</t>
  </si>
  <si>
    <t xml:space="preserve">Summa </t>
  </si>
  <si>
    <t>Kablage*</t>
  </si>
  <si>
    <t>SSO - Distributionslåda/PowerCase</t>
  </si>
  <si>
    <t>mm2</t>
  </si>
  <si>
    <t>Distributionslåda/PowerCase - EnergyHub</t>
  </si>
  <si>
    <t>EnergyHub - Nätanslutning</t>
  </si>
  <si>
    <t>*Kablage är beräknat med en längd på upp till 30m mellan respektive produkter. För mer detaljerade uträkningar använd Ferroamps kabelkalkylator</t>
  </si>
  <si>
    <t>Dimensioneringssverktyg för att planera en Ferroampinstallation UTAN energilager, max 15 SSO'er per hus/nätanslutning och max 4 hus/nätanslutningar</t>
  </si>
  <si>
    <t>Input</t>
  </si>
  <si>
    <r>
      <t>Solpanel - I</t>
    </r>
    <r>
      <rPr>
        <sz val="8"/>
        <rFont val="DM Sans"/>
      </rPr>
      <t>mpp</t>
    </r>
    <r>
      <rPr>
        <sz val="10"/>
        <rFont val="DM Sans"/>
      </rPr>
      <t xml:space="preserve"> (STC)</t>
    </r>
  </si>
  <si>
    <t>Antal SSO'er/hus</t>
  </si>
  <si>
    <t>Skåp
(inkl XL28)</t>
  </si>
  <si>
    <t>Skåp
(inkl XL21)</t>
  </si>
  <si>
    <t>XL21'or</t>
  </si>
  <si>
    <t>XL28'or</t>
  </si>
  <si>
    <t>Antal paneler hus #1</t>
  </si>
  <si>
    <t>Antal paneler hus #2</t>
  </si>
  <si>
    <t>Antal paneler hus #3</t>
  </si>
  <si>
    <t>Antal paneler hus #4</t>
  </si>
  <si>
    <t>DC box-8</t>
  </si>
  <si>
    <t>DC box-15</t>
  </si>
  <si>
    <t>EnergyHub XL21</t>
  </si>
  <si>
    <t>EnergyHub XL28</t>
  </si>
  <si>
    <t>Rack EnergyHub 24U inkl XL21</t>
  </si>
  <si>
    <t>Rack EnergyHub 24U inkl XL28</t>
  </si>
  <si>
    <t>Rack EnergyHub 42U inkl XL28</t>
  </si>
  <si>
    <t>SSO - Distributionslåda</t>
  </si>
  <si>
    <t>Distributionslåda - EnergyHub</t>
  </si>
  <si>
    <t>Hus #1</t>
  </si>
  <si>
    <t>Hus #2</t>
  </si>
  <si>
    <t>Hus #3</t>
  </si>
  <si>
    <t>Hus #4</t>
  </si>
  <si>
    <t>*Kablage är beräknat med en längd på upp till 30m mellan respektive produkter. För mer detaljerade uträkningar använde Ferroamps kabelkalkylator</t>
  </si>
  <si>
    <t>SSO</t>
  </si>
  <si>
    <t xml:space="preserve">Total Vmpp </t>
  </si>
  <si>
    <t>Antal Paneler per SSO</t>
  </si>
  <si>
    <t>0-12,5</t>
  </si>
  <si>
    <t>12,5-13,0</t>
  </si>
  <si>
    <t>Antal SSO hus #1</t>
  </si>
  <si>
    <t>13,0-13,5</t>
  </si>
  <si>
    <t>Antal SSO hus #2</t>
  </si>
  <si>
    <t>13,5-14,0</t>
  </si>
  <si>
    <t>Antal SSO hus #3</t>
  </si>
  <si>
    <t>Antal SSO hus #4</t>
  </si>
  <si>
    <t>Distributionslåda utan batteri</t>
  </si>
  <si>
    <t>Typ av DC hus #1</t>
  </si>
  <si>
    <t>Typ av DC hus #2</t>
  </si>
  <si>
    <t>Typ av DC hus #3</t>
  </si>
  <si>
    <t>Typ av DC hus #4</t>
  </si>
  <si>
    <t>0</t>
  </si>
  <si>
    <t>1-5</t>
  </si>
  <si>
    <t>6-8</t>
  </si>
  <si>
    <t>9-15</t>
  </si>
  <si>
    <t>Typ av ehub hus #1</t>
  </si>
  <si>
    <t>Typ av ehub hus #2</t>
  </si>
  <si>
    <t>Typ av ehub hus #3</t>
  </si>
  <si>
    <t>Typ av ehub hus #4</t>
  </si>
  <si>
    <t>effekt hus #1</t>
  </si>
  <si>
    <t>effekt hus #2</t>
  </si>
  <si>
    <t>effekt hus #3</t>
  </si>
  <si>
    <t>effekt hus #4</t>
  </si>
  <si>
    <t>2x21</t>
  </si>
  <si>
    <t>2x28</t>
  </si>
  <si>
    <t>3x28</t>
  </si>
  <si>
    <t>4x28</t>
  </si>
  <si>
    <t>5x28</t>
  </si>
  <si>
    <t>Kablage distbox - Ehub</t>
  </si>
  <si>
    <t>Typ av kabel hus #1</t>
  </si>
  <si>
    <t>Typ av kabel hus #2</t>
  </si>
  <si>
    <t>Typ av kabel hus #3</t>
  </si>
  <si>
    <t>Typ av kabel hus #4</t>
  </si>
  <si>
    <t>Kablage Ehub - nätanslutning</t>
  </si>
  <si>
    <t>1-3</t>
  </si>
  <si>
    <t>4-7</t>
  </si>
  <si>
    <t>För många SSO'er</t>
  </si>
  <si>
    <t>För många paneler</t>
  </si>
  <si>
    <t>ESS</t>
  </si>
  <si>
    <t>MC</t>
  </si>
  <si>
    <t>Typ av ESS hus #1</t>
  </si>
  <si>
    <t>för stort batteri</t>
  </si>
  <si>
    <t>Batterieffekt</t>
  </si>
  <si>
    <t>soleffekt</t>
  </si>
  <si>
    <t>Ehub effekt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</si>
</sst>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6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0"/>
      <name val="DM Sans"/>
    </font>
    <font>
      <sz val="10"/>
      <name val="DM Sans"/>
    </font>
    <font>
      <i/>
      <sz val="10"/>
      <name val="DM Sans"/>
    </font>
    <font>
      <u/>
      <sz val="12"/>
      <name val="DM Sans"/>
    </font>
    <font>
      <sz val="8"/>
      <name val="DM Sans"/>
    </font>
    <font>
      <sz val="8"/>
      <name val="Aptos Narrow"/>
      <family val="2"/>
      <scheme val="minor"/>
    </font>
    <font>
      <i/>
      <sz val="10"/>
      <color theme="0" tint="-0.34998626667073579"/>
      <name val="DM Sans"/>
    </font>
    <font>
      <sz val="10"/>
      <color theme="0" tint="-0.34998626667073579"/>
      <name val="DM Sans"/>
    </font>
    <font>
      <i/>
      <sz val="8"/>
      <color theme="0" tint="-0.34998626667073579"/>
      <name val="DM Sans"/>
    </font>
    <font>
      <sz val="11"/>
      <color theme="1"/>
      <name val="Aptos Narrow"/>
      <family val="2"/>
      <scheme val="minor"/>
    </font>
    <font>
      <u/>
      <sz val="10"/>
      <name val="DM Sans"/>
    </font>
    <font>
      <sz val="11"/>
      <color theme="0"/>
      <name val="DM Sans"/>
    </font>
    <font>
      <sz val="11"/>
      <name val="DM Sans"/>
    </font>
    <font>
      <i/>
      <sz val="9"/>
      <name val="DM Sans"/>
    </font>
  </fonts>
  <fills count="4">
    <fill>
      <patternFill patternType="none"/>
    </fill>
    <fill>
      <patternFill patternType="gray125"/>
    </fill>
    <fill>
      <patternFill patternType="solid">
        <fgColor rgb="FFDBE1D8"/>
        <bgColor indexed="64"/>
      </patternFill>
    </fill>
    <fill>
      <patternFill patternType="solid">
        <fgColor rgb="FFF2F4F3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11" fillId="0" borderId="0" applyFont="0" applyFill="0" applyBorder="0" applyAlignment="0" applyProtection="0"/>
  </cellStyleXfs>
  <cellXfs count="65">
    <xf numFmtId="0" fontId="0" fillId="0" borderId="0" xfId="0"/>
    <xf numFmtId="0" fontId="3" fillId="2" borderId="0" xfId="1" applyFont="1" applyProtection="1">
      <protection hidden="1"/>
    </xf>
    <xf numFmtId="0" fontId="3" fillId="2" borderId="0" xfId="1" applyFont="1" applyAlignment="1" applyProtection="1">
      <alignment horizontal="center"/>
      <protection hidden="1"/>
    </xf>
    <xf numFmtId="16" fontId="0" fillId="0" borderId="0" xfId="0" quotePrefix="1" applyNumberFormat="1"/>
    <xf numFmtId="0" fontId="0" fillId="0" borderId="0" xfId="0" quotePrefix="1"/>
    <xf numFmtId="0" fontId="2" fillId="2" borderId="0" xfId="1" applyFont="1" applyProtection="1">
      <protection hidden="1"/>
    </xf>
    <xf numFmtId="0" fontId="5" fillId="2" borderId="0" xfId="1" applyFont="1" applyAlignment="1" applyProtection="1">
      <alignment horizontal="left"/>
      <protection hidden="1"/>
    </xf>
    <xf numFmtId="0" fontId="2" fillId="2" borderId="0" xfId="1" applyFont="1" applyAlignment="1" applyProtection="1">
      <alignment horizontal="center"/>
      <protection hidden="1"/>
    </xf>
    <xf numFmtId="0" fontId="3" fillId="3" borderId="0" xfId="1" applyFont="1" applyFill="1" applyBorder="1" applyAlignment="1" applyProtection="1">
      <alignment horizontal="center"/>
      <protection hidden="1"/>
    </xf>
    <xf numFmtId="0" fontId="4" fillId="2" borderId="0" xfId="1" applyFont="1" applyProtection="1">
      <protection hidden="1"/>
    </xf>
    <xf numFmtId="0" fontId="9" fillId="2" borderId="1" xfId="1" applyFont="1" applyBorder="1" applyAlignment="1" applyProtection="1">
      <alignment horizontal="center"/>
      <protection hidden="1"/>
    </xf>
    <xf numFmtId="0" fontId="9" fillId="2" borderId="3" xfId="1" applyFont="1" applyBorder="1" applyAlignment="1" applyProtection="1">
      <alignment horizontal="center"/>
      <protection hidden="1"/>
    </xf>
    <xf numFmtId="1" fontId="3" fillId="3" borderId="0" xfId="1" applyNumberFormat="1" applyFont="1" applyFill="1" applyBorder="1" applyProtection="1">
      <protection locked="0" hidden="1"/>
    </xf>
    <xf numFmtId="1" fontId="3" fillId="3" borderId="0" xfId="1" applyNumberFormat="1" applyFont="1" applyFill="1" applyBorder="1" applyAlignment="1" applyProtection="1">
      <alignment horizontal="center"/>
      <protection hidden="1"/>
    </xf>
    <xf numFmtId="0" fontId="9" fillId="2" borderId="5" xfId="1" applyFont="1" applyBorder="1" applyAlignment="1" applyProtection="1">
      <alignment horizontal="center"/>
      <protection hidden="1"/>
    </xf>
    <xf numFmtId="0" fontId="9" fillId="2" borderId="4" xfId="1" applyFont="1" applyBorder="1" applyAlignment="1" applyProtection="1">
      <alignment horizontal="center"/>
      <protection hidden="1"/>
    </xf>
    <xf numFmtId="2" fontId="3" fillId="3" borderId="0" xfId="1" applyNumberFormat="1" applyFont="1" applyFill="1" applyBorder="1" applyAlignment="1" applyProtection="1">
      <alignment horizontal="center"/>
      <protection hidden="1"/>
    </xf>
    <xf numFmtId="0" fontId="9" fillId="2" borderId="6" xfId="1" applyFont="1" applyBorder="1" applyAlignment="1" applyProtection="1">
      <alignment horizontal="center"/>
      <protection hidden="1"/>
    </xf>
    <xf numFmtId="0" fontId="9" fillId="2" borderId="7" xfId="1" applyFont="1" applyBorder="1" applyAlignment="1" applyProtection="1">
      <alignment horizontal="center"/>
      <protection hidden="1"/>
    </xf>
    <xf numFmtId="0" fontId="5" fillId="2" borderId="0" xfId="1" applyFont="1" applyAlignment="1" applyProtection="1">
      <alignment horizontal="left" vertical="top"/>
      <protection hidden="1"/>
    </xf>
    <xf numFmtId="0" fontId="3" fillId="2" borderId="0" xfId="1" applyFont="1" applyAlignment="1" applyProtection="1">
      <alignment horizontal="right"/>
      <protection hidden="1"/>
    </xf>
    <xf numFmtId="0" fontId="10" fillId="2" borderId="0" xfId="1" applyFont="1" applyBorder="1" applyAlignment="1" applyProtection="1">
      <alignment horizontal="left"/>
      <protection hidden="1"/>
    </xf>
    <xf numFmtId="0" fontId="9" fillId="2" borderId="0" xfId="1" applyFont="1" applyBorder="1" applyAlignment="1" applyProtection="1">
      <alignment horizontal="center"/>
      <protection hidden="1"/>
    </xf>
    <xf numFmtId="0" fontId="9" fillId="2" borderId="16" xfId="1" applyFont="1" applyBorder="1" applyAlignment="1" applyProtection="1">
      <alignment horizontal="center"/>
      <protection hidden="1"/>
    </xf>
    <xf numFmtId="166" fontId="10" fillId="2" borderId="0" xfId="2" applyNumberFormat="1" applyFont="1" applyFill="1" applyBorder="1" applyAlignment="1" applyProtection="1">
      <alignment horizontal="right"/>
      <protection hidden="1"/>
    </xf>
    <xf numFmtId="0" fontId="12" fillId="2" borderId="0" xfId="1" applyFont="1" applyAlignment="1" applyProtection="1">
      <alignment horizontal="center"/>
      <protection hidden="1"/>
    </xf>
    <xf numFmtId="0" fontId="12" fillId="2" borderId="0" xfId="1" applyFont="1" applyAlignment="1" applyProtection="1">
      <alignment horizontal="right"/>
      <protection hidden="1"/>
    </xf>
    <xf numFmtId="0" fontId="13" fillId="2" borderId="0" xfId="1" applyFont="1" applyProtection="1">
      <protection hidden="1"/>
    </xf>
    <xf numFmtId="0" fontId="14" fillId="2" borderId="0" xfId="1" applyFont="1" applyProtection="1">
      <protection hidden="1"/>
    </xf>
    <xf numFmtId="0" fontId="14" fillId="2" borderId="0" xfId="1" applyFont="1" applyAlignment="1" applyProtection="1">
      <alignment horizontal="center"/>
      <protection hidden="1"/>
    </xf>
    <xf numFmtId="0" fontId="15" fillId="2" borderId="0" xfId="1" applyFont="1" applyProtection="1">
      <protection hidden="1"/>
    </xf>
    <xf numFmtId="165" fontId="0" fillId="0" borderId="0" xfId="0" applyNumberFormat="1"/>
    <xf numFmtId="0" fontId="3" fillId="2" borderId="0" xfId="1" applyFont="1" applyAlignment="1" applyProtection="1">
      <alignment horizontal="left"/>
      <protection hidden="1"/>
    </xf>
    <xf numFmtId="0" fontId="2" fillId="2" borderId="0" xfId="1" applyFont="1" applyAlignment="1" applyProtection="1">
      <alignment horizontal="left"/>
      <protection hidden="1"/>
    </xf>
    <xf numFmtId="0" fontId="10" fillId="2" borderId="0" xfId="1" applyFont="1" applyBorder="1" applyAlignment="1" applyProtection="1">
      <protection hidden="1"/>
    </xf>
    <xf numFmtId="0" fontId="3" fillId="2" borderId="0" xfId="1" applyFont="1" applyAlignment="1" applyProtection="1">
      <protection hidden="1"/>
    </xf>
    <xf numFmtId="0" fontId="3" fillId="2" borderId="17" xfId="1" applyFont="1" applyBorder="1" applyProtection="1">
      <protection hidden="1"/>
    </xf>
    <xf numFmtId="0" fontId="3" fillId="2" borderId="0" xfId="1" applyFont="1" applyAlignment="1" applyProtection="1">
      <alignment horizontal="left" indent="2"/>
      <protection hidden="1"/>
    </xf>
    <xf numFmtId="0" fontId="9" fillId="2" borderId="15" xfId="1" applyFont="1" applyBorder="1" applyAlignment="1" applyProtection="1">
      <alignment horizontal="center"/>
      <protection hidden="1"/>
    </xf>
    <xf numFmtId="0" fontId="9" fillId="2" borderId="2" xfId="1" applyFont="1" applyBorder="1" applyAlignment="1" applyProtection="1">
      <alignment horizontal="center"/>
      <protection hidden="1"/>
    </xf>
    <xf numFmtId="165" fontId="9" fillId="2" borderId="7" xfId="1" applyNumberFormat="1" applyFont="1" applyBorder="1" applyAlignment="1" applyProtection="1">
      <alignment horizontal="center"/>
      <protection hidden="1"/>
    </xf>
    <xf numFmtId="0" fontId="9" fillId="2" borderId="18" xfId="1" applyFont="1" applyBorder="1" applyAlignment="1" applyProtection="1">
      <alignment horizontal="center"/>
      <protection hidden="1"/>
    </xf>
    <xf numFmtId="0" fontId="9" fillId="2" borderId="19" xfId="1" applyFont="1" applyBorder="1" applyAlignment="1" applyProtection="1">
      <alignment horizontal="center"/>
      <protection hidden="1"/>
    </xf>
    <xf numFmtId="0" fontId="3" fillId="2" borderId="0" xfId="1" applyFont="1" applyAlignment="1" applyProtection="1">
      <alignment vertical="center"/>
      <protection hidden="1"/>
    </xf>
    <xf numFmtId="2" fontId="3" fillId="3" borderId="0" xfId="1" applyNumberFormat="1" applyFont="1" applyFill="1" applyBorder="1" applyAlignment="1" applyProtection="1">
      <protection locked="0" hidden="1"/>
    </xf>
    <xf numFmtId="1" fontId="3" fillId="3" borderId="0" xfId="1" applyNumberFormat="1" applyFont="1" applyFill="1" applyBorder="1" applyAlignment="1" applyProtection="1">
      <protection locked="0" hidden="1"/>
    </xf>
    <xf numFmtId="1" fontId="3" fillId="3" borderId="0" xfId="1" applyNumberFormat="1" applyFont="1" applyFill="1" applyBorder="1" applyAlignment="1" applyProtection="1">
      <alignment horizontal="center"/>
      <protection locked="0" hidden="1"/>
    </xf>
    <xf numFmtId="2" fontId="3" fillId="3" borderId="0" xfId="1" applyNumberFormat="1" applyFont="1" applyFill="1" applyBorder="1" applyAlignment="1" applyProtection="1">
      <alignment horizontal="center"/>
      <protection locked="0" hidden="1"/>
    </xf>
    <xf numFmtId="1" fontId="9" fillId="2" borderId="6" xfId="1" applyNumberFormat="1" applyFont="1" applyBorder="1" applyAlignment="1" applyProtection="1">
      <alignment horizontal="center"/>
      <protection hidden="1"/>
    </xf>
    <xf numFmtId="165" fontId="10" fillId="2" borderId="0" xfId="1" applyNumberFormat="1" applyFont="1" applyBorder="1" applyAlignment="1" applyProtection="1">
      <protection hidden="1"/>
    </xf>
    <xf numFmtId="1" fontId="9" fillId="2" borderId="0" xfId="1" applyNumberFormat="1" applyFont="1" applyBorder="1" applyAlignment="1" applyProtection="1">
      <alignment horizontal="center"/>
      <protection hidden="1"/>
    </xf>
    <xf numFmtId="165" fontId="9" fillId="2" borderId="0" xfId="1" applyNumberFormat="1" applyFont="1" applyBorder="1" applyAlignment="1" applyProtection="1">
      <alignment horizontal="center"/>
      <protection hidden="1"/>
    </xf>
    <xf numFmtId="0" fontId="3" fillId="2" borderId="17" xfId="1" applyFont="1" applyBorder="1" applyAlignment="1" applyProtection="1">
      <alignment horizontal="center"/>
      <protection hidden="1"/>
    </xf>
    <xf numFmtId="0" fontId="9" fillId="2" borderId="10" xfId="1" applyFont="1" applyBorder="1" applyAlignment="1" applyProtection="1">
      <alignment horizontal="center"/>
      <protection hidden="1"/>
    </xf>
    <xf numFmtId="0" fontId="9" fillId="2" borderId="11" xfId="1" applyFont="1" applyBorder="1" applyAlignment="1" applyProtection="1">
      <alignment horizontal="center"/>
      <protection hidden="1"/>
    </xf>
    <xf numFmtId="0" fontId="9" fillId="2" borderId="12" xfId="1" applyFont="1" applyBorder="1" applyAlignment="1" applyProtection="1">
      <alignment horizontal="center"/>
      <protection hidden="1"/>
    </xf>
    <xf numFmtId="0" fontId="9" fillId="2" borderId="13" xfId="1" applyFont="1" applyBorder="1" applyAlignment="1" applyProtection="1">
      <alignment horizontal="center"/>
      <protection hidden="1"/>
    </xf>
    <xf numFmtId="0" fontId="9" fillId="2" borderId="15" xfId="1" applyFont="1" applyBorder="1" applyAlignment="1" applyProtection="1">
      <alignment horizontal="center"/>
      <protection hidden="1"/>
    </xf>
    <xf numFmtId="0" fontId="8" fillId="2" borderId="8" xfId="1" applyFont="1" applyBorder="1" applyAlignment="1" applyProtection="1">
      <alignment horizontal="center"/>
      <protection hidden="1"/>
    </xf>
    <xf numFmtId="0" fontId="8" fillId="2" borderId="9" xfId="1" applyFont="1" applyBorder="1" applyAlignment="1" applyProtection="1">
      <alignment horizontal="center"/>
      <protection hidden="1"/>
    </xf>
    <xf numFmtId="0" fontId="9" fillId="2" borderId="1" xfId="1" applyFont="1" applyBorder="1" applyAlignment="1" applyProtection="1">
      <alignment horizontal="center" wrapText="1"/>
      <protection hidden="1"/>
    </xf>
    <xf numFmtId="0" fontId="9" fillId="2" borderId="3" xfId="1" applyFont="1" applyBorder="1" applyAlignment="1" applyProtection="1">
      <alignment horizontal="center" wrapText="1"/>
      <protection hidden="1"/>
    </xf>
    <xf numFmtId="0" fontId="9" fillId="2" borderId="2" xfId="1" applyFont="1" applyBorder="1" applyAlignment="1" applyProtection="1">
      <alignment horizontal="center" wrapText="1"/>
      <protection hidden="1"/>
    </xf>
    <xf numFmtId="0" fontId="9" fillId="2" borderId="4" xfId="1" applyFont="1" applyBorder="1" applyAlignment="1" applyProtection="1">
      <alignment horizontal="center" wrapText="1"/>
      <protection hidden="1"/>
    </xf>
    <xf numFmtId="0" fontId="9" fillId="2" borderId="14" xfId="1" applyFont="1" applyBorder="1" applyAlignment="1" applyProtection="1">
      <alignment horizontal="center"/>
      <protection hidden="1"/>
    </xf>
  </cellXfs>
  <cellStyles count="3">
    <cellStyle name="Dekorfärg3" xfId="1" builtinId="37" customBuiltin="1"/>
    <cellStyle name="Normal" xfId="0" builtinId="0"/>
    <cellStyle name="Tusental" xfId="2" builtinId="3"/>
  </cellStyles>
  <dxfs count="0"/>
  <tableStyles count="0" defaultTableStyle="TableStyleMedium2" defaultPivotStyle="PivotStyleLight16"/>
  <colors>
    <mruColors>
      <color rgb="FFDBE1D8"/>
      <color rgb="FFF2F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44451</xdr:colOff>
      <xdr:row>0</xdr:row>
      <xdr:rowOff>165100</xdr:rowOff>
    </xdr:from>
    <xdr:to>
      <xdr:col>2</xdr:col>
      <xdr:colOff>709</xdr:colOff>
      <xdr:row>2</xdr:row>
      <xdr:rowOff>145710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D48CE98-8C53-4A83-A30F-A1E922223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318" y="165100"/>
          <a:ext cx="1246716" cy="317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44451</xdr:colOff>
      <xdr:row>0</xdr:row>
      <xdr:rowOff>165100</xdr:rowOff>
    </xdr:from>
    <xdr:to>
      <xdr:col>3</xdr:col>
      <xdr:colOff>61386</xdr:colOff>
      <xdr:row>2</xdr:row>
      <xdr:rowOff>147827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5F3D2A1-2336-D5CC-3373-FA8049242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451" y="165100"/>
          <a:ext cx="1155700" cy="330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Anpassat 1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7FB351"/>
      </a:accent1>
      <a:accent2>
        <a:srgbClr val="212C1A"/>
      </a:accent2>
      <a:accent3>
        <a:srgbClr val="F2F4F3"/>
      </a:accent3>
      <a:accent4>
        <a:srgbClr val="DBE1D8"/>
      </a:accent4>
      <a:accent5>
        <a:srgbClr val="000000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BFB33-4404-45DF-AB89-1E9B62EF4A49}">
  <sheetPr codeName="Blad1"/>
  <dimension ref="A4:M35"/>
  <sheetViews>
    <sheetView showGridLines="0" showZeros="0" tabSelected="1" zoomScale="90" zoomScaleNormal="90" workbookViewId="0">
      <selection activeCell="E13" sqref="E13"/>
    </sheetView>
  </sheetViews>
  <sheetFormatPr defaultColWidth="8.7109375" defaultRowHeight="13.5"/>
  <cols>
    <col min="1" max="1" width="2.28515625" style="5" customWidth="1"/>
    <col min="2" max="2" width="18.140625" style="5" customWidth="1"/>
    <col min="3" max="3" width="6.140625" style="5" customWidth="1"/>
    <col min="4" max="4" width="11.7109375" style="7" customWidth="1"/>
    <col min="5" max="5" width="7.5703125" style="5" customWidth="1"/>
    <col min="6" max="6" width="6.85546875" style="7" customWidth="1"/>
    <col min="7" max="7" width="14.5703125" style="5" bestFit="1" customWidth="1"/>
    <col min="8" max="8" width="15.42578125" style="5" bestFit="1" customWidth="1"/>
    <col min="9" max="11" width="6.5703125" style="5" customWidth="1"/>
    <col min="12" max="12" width="10.140625" style="7" hidden="1" customWidth="1"/>
    <col min="13" max="16384" width="8.7109375" style="5"/>
  </cols>
  <sheetData>
    <row r="4" spans="1:13" s="27" customFormat="1" ht="15">
      <c r="A4" s="28"/>
      <c r="B4" s="28" t="s">
        <v>0</v>
      </c>
      <c r="C4" s="28"/>
      <c r="D4" s="29"/>
      <c r="E4" s="28"/>
      <c r="F4" s="29"/>
      <c r="G4" s="28"/>
      <c r="H4" s="28"/>
      <c r="I4" s="28"/>
      <c r="J4" s="28"/>
      <c r="K4" s="28"/>
      <c r="L4" s="29"/>
      <c r="M4" s="28"/>
    </row>
    <row r="5" spans="1:13" ht="6.75" customHeight="1">
      <c r="A5" s="1"/>
      <c r="B5" s="1"/>
      <c r="C5" s="1"/>
      <c r="D5" s="2"/>
      <c r="E5" s="1"/>
      <c r="F5" s="2"/>
      <c r="G5" s="1"/>
      <c r="H5" s="1"/>
      <c r="I5" s="1"/>
      <c r="J5" s="1"/>
      <c r="K5" s="1"/>
      <c r="L5" s="2"/>
      <c r="M5" s="1"/>
    </row>
    <row r="6" spans="1:13" ht="15.95">
      <c r="B6" s="6" t="s">
        <v>1</v>
      </c>
      <c r="C6" s="1"/>
      <c r="D6" s="2"/>
      <c r="E6" s="1"/>
      <c r="F6" s="2"/>
      <c r="G6" s="1"/>
      <c r="H6" s="1"/>
      <c r="I6" s="1"/>
      <c r="J6" s="1"/>
      <c r="K6" s="1"/>
      <c r="L6" s="2"/>
      <c r="M6" s="1"/>
    </row>
    <row r="7" spans="1:13" ht="15" customHeight="1" thickBot="1">
      <c r="A7" s="1"/>
      <c r="B7" s="1" t="s">
        <v>2</v>
      </c>
      <c r="C7" s="1"/>
      <c r="E7" s="47">
        <v>30.92</v>
      </c>
      <c r="F7" s="1" t="s">
        <v>3</v>
      </c>
      <c r="G7" s="9"/>
      <c r="H7" s="1"/>
      <c r="I7" s="1"/>
      <c r="J7" s="1"/>
      <c r="K7" s="1"/>
      <c r="L7" s="2"/>
      <c r="M7" s="1"/>
    </row>
    <row r="8" spans="1:13" ht="14.45" customHeight="1" thickTop="1">
      <c r="A8" s="1"/>
      <c r="B8" s="1" t="s">
        <v>4</v>
      </c>
      <c r="C8" s="1"/>
      <c r="E8" s="47">
        <v>12.94</v>
      </c>
      <c r="F8" s="1" t="s">
        <v>5</v>
      </c>
      <c r="G8" s="58" t="s">
        <v>6</v>
      </c>
      <c r="H8" s="53" t="s">
        <v>7</v>
      </c>
      <c r="I8" s="55" t="s">
        <v>8</v>
      </c>
      <c r="J8" s="56"/>
      <c r="K8" s="57"/>
      <c r="L8" s="38"/>
      <c r="M8" s="1"/>
    </row>
    <row r="9" spans="1:13" ht="13.5" customHeight="1">
      <c r="A9" s="1"/>
      <c r="B9" s="21" t="s">
        <v>9</v>
      </c>
      <c r="E9" s="34">
        <f>Blad1batt!F2</f>
        <v>21</v>
      </c>
      <c r="F9" s="21" t="s">
        <v>10</v>
      </c>
      <c r="G9" s="59"/>
      <c r="H9" s="54"/>
      <c r="I9" s="11" t="s">
        <v>11</v>
      </c>
      <c r="J9" s="11" t="s">
        <v>12</v>
      </c>
      <c r="K9" s="15" t="s">
        <v>13</v>
      </c>
      <c r="L9" s="41" t="s">
        <v>14</v>
      </c>
      <c r="M9" s="1"/>
    </row>
    <row r="10" spans="1:13" ht="15" customHeight="1" thickBot="1">
      <c r="A10" s="1"/>
      <c r="B10" s="1" t="s">
        <v>15</v>
      </c>
      <c r="C10" s="35"/>
      <c r="D10" s="33"/>
      <c r="E10" s="46">
        <v>16</v>
      </c>
      <c r="F10" s="1" t="s">
        <v>10</v>
      </c>
      <c r="G10" s="14">
        <f>IF(Blad1batt!F4&gt;7,"för många paneler",Blad1batt!F4)</f>
        <v>1</v>
      </c>
      <c r="H10" s="17" t="str">
        <f>IF(E14=0,"DC box-5",Blad1batt!C10)</f>
        <v>PowerCase</v>
      </c>
      <c r="I10" s="17">
        <f>IF(L10=14,1,"")</f>
        <v>1</v>
      </c>
      <c r="J10" s="17" t="str">
        <f>IF(L10=21,1,IF(L10=42,2,""))</f>
        <v/>
      </c>
      <c r="K10" s="18" t="str">
        <f>IF(L10=28,1,IF(L10=56,2,""))</f>
        <v/>
      </c>
      <c r="L10" s="42">
        <f>Blad1batt!C17</f>
        <v>14</v>
      </c>
      <c r="M10" s="1"/>
    </row>
    <row r="11" spans="1:13" ht="14.45" thickTop="1" thickBot="1">
      <c r="A11" s="1"/>
      <c r="B11" s="21" t="s">
        <v>16</v>
      </c>
      <c r="E11" s="49">
        <f>SUM(E10*E8*E7)/1000</f>
        <v>6.4016768000000006</v>
      </c>
      <c r="F11" s="21" t="s">
        <v>17</v>
      </c>
      <c r="G11" s="22"/>
      <c r="H11" s="22"/>
      <c r="L11" s="22"/>
      <c r="M11" s="1"/>
    </row>
    <row r="12" spans="1:13" ht="15" customHeight="1" thickTop="1">
      <c r="A12" s="1"/>
      <c r="B12" s="6" t="s">
        <v>18</v>
      </c>
      <c r="E12" s="7"/>
      <c r="G12" s="23" t="s">
        <v>19</v>
      </c>
      <c r="H12" s="10" t="s">
        <v>20</v>
      </c>
      <c r="I12" s="10" t="s">
        <v>21</v>
      </c>
      <c r="J12" s="10" t="s">
        <v>22</v>
      </c>
      <c r="K12" s="39" t="s">
        <v>23</v>
      </c>
      <c r="L12" s="22"/>
      <c r="M12" s="1"/>
    </row>
    <row r="13" spans="1:13" ht="14.1" thickBot="1">
      <c r="A13" s="1"/>
      <c r="B13" s="35" t="s">
        <v>24</v>
      </c>
      <c r="C13" s="1"/>
      <c r="E13" s="46">
        <v>4</v>
      </c>
      <c r="F13" s="1" t="s">
        <v>10</v>
      </c>
      <c r="G13" s="14">
        <f>Blad1batt!C30</f>
        <v>4</v>
      </c>
      <c r="H13" s="17">
        <f>Blad1batt!D30</f>
        <v>1</v>
      </c>
      <c r="I13" s="48">
        <f>IF(E14&lt;3,E14,"&lt;2")</f>
        <v>2</v>
      </c>
      <c r="J13" s="48">
        <f>IF(H13=0,0,IF(3&gt;H13&gt;1,G13*I13,G13*I13))</f>
        <v>8</v>
      </c>
      <c r="K13" s="40">
        <f>IF(H13=0,0,G13*5.12)</f>
        <v>20.48</v>
      </c>
      <c r="L13" s="22"/>
      <c r="M13" s="1"/>
    </row>
    <row r="14" spans="1:13" ht="14.1" thickTop="1">
      <c r="A14" s="1"/>
      <c r="B14" s="43" t="s">
        <v>25</v>
      </c>
      <c r="C14" s="1"/>
      <c r="E14" s="46">
        <v>2</v>
      </c>
      <c r="F14" s="1" t="s">
        <v>10</v>
      </c>
      <c r="G14" s="22"/>
      <c r="H14" s="22"/>
      <c r="I14" s="50"/>
      <c r="J14" s="51"/>
      <c r="K14" s="51"/>
      <c r="L14" s="22"/>
      <c r="M14" s="1"/>
    </row>
    <row r="15" spans="1:13" ht="13.5" customHeight="1">
      <c r="A15" s="1"/>
      <c r="B15" s="1"/>
      <c r="C15" s="1"/>
      <c r="D15" s="1"/>
      <c r="E15" s="1"/>
      <c r="F15" s="1"/>
      <c r="G15" s="9"/>
      <c r="H15" s="1"/>
      <c r="I15" s="1"/>
      <c r="J15" s="1"/>
      <c r="K15" s="1"/>
      <c r="L15" s="2"/>
      <c r="M15" s="1"/>
    </row>
    <row r="16" spans="1:13" ht="15.95">
      <c r="B16" s="19" t="s">
        <v>26</v>
      </c>
      <c r="C16" s="1"/>
      <c r="D16" s="25" t="s">
        <v>27</v>
      </c>
      <c r="E16" s="2"/>
      <c r="F16" s="1"/>
      <c r="G16" s="25" t="s">
        <v>28</v>
      </c>
      <c r="H16" s="26" t="s">
        <v>29</v>
      </c>
      <c r="I16" s="1"/>
      <c r="J16" s="1"/>
      <c r="K16" s="1"/>
      <c r="L16" s="2"/>
      <c r="M16" s="1"/>
    </row>
    <row r="17" spans="1:12">
      <c r="A17" s="1"/>
      <c r="B17" s="1" t="s">
        <v>30</v>
      </c>
      <c r="C17" s="1"/>
      <c r="D17" s="2">
        <v>5289195</v>
      </c>
      <c r="E17" s="2">
        <f>SUM(G10:G10)</f>
        <v>1</v>
      </c>
      <c r="F17" s="32" t="s">
        <v>10</v>
      </c>
      <c r="G17" s="12">
        <v>1000</v>
      </c>
      <c r="H17" s="1">
        <f t="shared" ref="H17:H26" si="0">G17*E17</f>
        <v>1000</v>
      </c>
      <c r="I17" s="1"/>
      <c r="J17" s="1"/>
      <c r="K17" s="2"/>
      <c r="L17" s="1"/>
    </row>
    <row r="18" spans="1:12">
      <c r="A18" s="1"/>
      <c r="B18" s="1" t="s">
        <v>31</v>
      </c>
      <c r="C18" s="1"/>
      <c r="D18" s="2">
        <v>5289181</v>
      </c>
      <c r="E18" s="2">
        <f>COUNTIF(Blad1batt!C10,"DC5+PC")+COUNTIF(H10,"DC box-5")</f>
        <v>0</v>
      </c>
      <c r="F18" s="32" t="s">
        <v>10</v>
      </c>
      <c r="G18" s="12">
        <v>1000</v>
      </c>
      <c r="H18" s="1">
        <f t="shared" si="0"/>
        <v>0</v>
      </c>
      <c r="I18" s="1"/>
      <c r="J18" s="1"/>
      <c r="K18" s="2"/>
      <c r="L18" s="1"/>
    </row>
    <row r="19" spans="1:12">
      <c r="B19" s="1" t="s">
        <v>32</v>
      </c>
      <c r="D19" s="2">
        <v>2740258</v>
      </c>
      <c r="E19" s="2">
        <f>IF(I13=0,0,IF(I13=4,2,1))</f>
        <v>1</v>
      </c>
      <c r="F19" s="32" t="s">
        <v>10</v>
      </c>
      <c r="G19" s="12">
        <v>1000</v>
      </c>
      <c r="H19" s="1">
        <f t="shared" si="0"/>
        <v>1000</v>
      </c>
      <c r="K19" s="7"/>
      <c r="L19" s="5"/>
    </row>
    <row r="20" spans="1:12">
      <c r="B20" s="1" t="s">
        <v>33</v>
      </c>
      <c r="D20" s="2">
        <v>5289206</v>
      </c>
      <c r="E20" s="2">
        <f>SUM(I10:I10)</f>
        <v>1</v>
      </c>
      <c r="F20" s="32" t="s">
        <v>10</v>
      </c>
      <c r="G20" s="12">
        <v>1000</v>
      </c>
      <c r="H20" s="1">
        <f t="shared" si="0"/>
        <v>1000</v>
      </c>
      <c r="K20" s="7"/>
      <c r="L20" s="5"/>
    </row>
    <row r="21" spans="1:12">
      <c r="B21" s="1" t="s">
        <v>34</v>
      </c>
      <c r="D21" s="2">
        <v>5289199</v>
      </c>
      <c r="E21" s="2">
        <f>SUM(J10:J10)</f>
        <v>0</v>
      </c>
      <c r="F21" s="32" t="s">
        <v>10</v>
      </c>
      <c r="G21" s="12">
        <v>1000</v>
      </c>
      <c r="H21" s="1">
        <f t="shared" si="0"/>
        <v>0</v>
      </c>
    </row>
    <row r="22" spans="1:12">
      <c r="B22" s="1" t="s">
        <v>35</v>
      </c>
      <c r="D22" s="2">
        <v>5289200</v>
      </c>
      <c r="E22" s="2">
        <f>SUM(K10:K10)</f>
        <v>0</v>
      </c>
      <c r="F22" s="32" t="s">
        <v>10</v>
      </c>
      <c r="G22" s="12">
        <v>1000</v>
      </c>
      <c r="H22" s="1">
        <f t="shared" si="0"/>
        <v>0</v>
      </c>
    </row>
    <row r="23" spans="1:12">
      <c r="B23" s="1" t="s">
        <v>36</v>
      </c>
      <c r="D23" s="2">
        <v>2740050</v>
      </c>
      <c r="E23" s="2">
        <f>IF(E22=2,1,IF(E21=2,1,0))</f>
        <v>0</v>
      </c>
      <c r="F23" s="32" t="s">
        <v>10</v>
      </c>
      <c r="G23" s="12">
        <v>1000</v>
      </c>
      <c r="H23" s="1">
        <f t="shared" si="0"/>
        <v>0</v>
      </c>
    </row>
    <row r="24" spans="1:12">
      <c r="B24" s="1" t="s">
        <v>37</v>
      </c>
      <c r="D24" s="2">
        <v>2742064</v>
      </c>
      <c r="E24" s="2">
        <f>G13</f>
        <v>4</v>
      </c>
      <c r="F24" s="32" t="s">
        <v>10</v>
      </c>
      <c r="G24" s="12">
        <v>1000</v>
      </c>
      <c r="H24" s="1">
        <f t="shared" si="0"/>
        <v>4000</v>
      </c>
    </row>
    <row r="25" spans="1:12">
      <c r="B25" s="1" t="s">
        <v>38</v>
      </c>
      <c r="D25" s="2">
        <v>2742065</v>
      </c>
      <c r="E25" s="2">
        <f>H13</f>
        <v>1</v>
      </c>
      <c r="F25" s="32" t="s">
        <v>10</v>
      </c>
      <c r="G25" s="12">
        <v>1000</v>
      </c>
      <c r="H25" s="1">
        <f t="shared" si="0"/>
        <v>1000</v>
      </c>
    </row>
    <row r="26" spans="1:12" ht="14.1" thickBot="1">
      <c r="B26" s="1" t="s">
        <v>39</v>
      </c>
      <c r="D26" s="2">
        <v>2740259</v>
      </c>
      <c r="E26" s="52">
        <f>I13</f>
        <v>2</v>
      </c>
      <c r="F26" s="32" t="s">
        <v>10</v>
      </c>
      <c r="G26" s="12">
        <v>1000</v>
      </c>
      <c r="H26" s="36">
        <f t="shared" si="0"/>
        <v>2000</v>
      </c>
    </row>
    <row r="27" spans="1:12" ht="14.1" thickTop="1">
      <c r="E27" s="2">
        <f>SUM(E17:E26)</f>
        <v>10</v>
      </c>
      <c r="F27" s="33"/>
      <c r="G27" s="26" t="s">
        <v>40</v>
      </c>
      <c r="H27" s="20">
        <f>SUM(H17:H26)</f>
        <v>10000</v>
      </c>
    </row>
    <row r="28" spans="1:12" ht="15.95">
      <c r="B28" s="19" t="s">
        <v>41</v>
      </c>
      <c r="F28" s="33"/>
    </row>
    <row r="29" spans="1:12">
      <c r="B29" s="1" t="s">
        <v>42</v>
      </c>
      <c r="C29" s="1"/>
      <c r="D29" s="2"/>
      <c r="E29" s="2">
        <v>1.5</v>
      </c>
      <c r="F29" s="32" t="s">
        <v>43</v>
      </c>
    </row>
    <row r="30" spans="1:12">
      <c r="B30" s="1" t="s">
        <v>44</v>
      </c>
      <c r="C30" s="1"/>
      <c r="D30" s="2"/>
      <c r="E30" s="2">
        <f>Blad1batt!C45</f>
        <v>2.5</v>
      </c>
      <c r="F30" s="32" t="s">
        <v>43</v>
      </c>
    </row>
    <row r="31" spans="1:12">
      <c r="B31" s="1" t="s">
        <v>45</v>
      </c>
      <c r="C31" s="1"/>
      <c r="D31" s="2"/>
      <c r="E31" s="2">
        <f>Blad1batt!C60</f>
        <v>4</v>
      </c>
      <c r="F31" s="32" t="s">
        <v>43</v>
      </c>
    </row>
    <row r="32" spans="1:12">
      <c r="B32" s="1"/>
      <c r="C32" s="1"/>
      <c r="D32" s="2"/>
      <c r="F32" s="5"/>
    </row>
    <row r="33" spans="2:6">
      <c r="B33" s="30" t="s">
        <v>46</v>
      </c>
      <c r="C33" s="1"/>
      <c r="D33" s="2"/>
      <c r="E33" s="1"/>
      <c r="F33" s="2"/>
    </row>
    <row r="34" spans="2:6">
      <c r="B34" s="1"/>
      <c r="C34" s="1"/>
      <c r="D34" s="2"/>
      <c r="E34" s="1"/>
      <c r="F34" s="2"/>
    </row>
    <row r="35" spans="2:6">
      <c r="C35" s="1"/>
      <c r="D35" s="2"/>
      <c r="E35" s="1"/>
      <c r="F35" s="2"/>
    </row>
  </sheetData>
  <sheetProtection algorithmName="SHA-512" hashValue="qT3Jlq+beTfFb9RdzBqmU5BOiqgQGArY2WKK4I5rGhOe463VmQl4aiOxCbgmGRnVkqcWStwpMtIRf9K6vWKVAA==" saltValue="/1ZSBNcMNb5TESPe51BEjQ==" spinCount="100000" sheet="1" objects="1" scenarios="1"/>
  <mergeCells count="3">
    <mergeCell ref="H8:H9"/>
    <mergeCell ref="I8:K8"/>
    <mergeCell ref="G8:G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63B0-8696-4759-8A22-108B61C20CFE}">
  <sheetPr codeName="Blad2"/>
  <dimension ref="A4:S43"/>
  <sheetViews>
    <sheetView showGridLines="0" showZeros="0" zoomScale="90" zoomScaleNormal="90" workbookViewId="0">
      <selection activeCell="D11" sqref="D11"/>
    </sheetView>
  </sheetViews>
  <sheetFormatPr defaultColWidth="8.7109375" defaultRowHeight="13.5"/>
  <cols>
    <col min="1" max="1" width="3.42578125" style="5" customWidth="1"/>
    <col min="2" max="2" width="2.28515625" style="5" customWidth="1"/>
    <col min="3" max="3" width="17.140625" style="5" customWidth="1"/>
    <col min="4" max="4" width="7.85546875" style="5" customWidth="1"/>
    <col min="5" max="5" width="11.42578125" style="5" customWidth="1"/>
    <col min="6" max="6" width="5.5703125" style="5" customWidth="1"/>
    <col min="7" max="7" width="5.42578125" style="7" bestFit="1" customWidth="1"/>
    <col min="8" max="8" width="3.140625" style="5" customWidth="1"/>
    <col min="9" max="9" width="16" style="5" bestFit="1" customWidth="1"/>
    <col min="10" max="10" width="15.42578125" style="5" bestFit="1" customWidth="1"/>
    <col min="11" max="12" width="4.42578125" style="5" bestFit="1" customWidth="1"/>
    <col min="13" max="13" width="4.85546875" style="5" bestFit="1" customWidth="1"/>
    <col min="14" max="14" width="6.7109375" style="7" bestFit="1" customWidth="1"/>
    <col min="15" max="15" width="7.28515625" style="7" customWidth="1"/>
    <col min="16" max="16" width="10.140625" style="7" hidden="1" customWidth="1"/>
    <col min="17" max="17" width="9.7109375" style="7" customWidth="1"/>
    <col min="18" max="18" width="10.5703125" style="5" bestFit="1" customWidth="1"/>
    <col min="19" max="16384" width="8.7109375" style="5"/>
  </cols>
  <sheetData>
    <row r="4" spans="1:19" s="27" customFormat="1" ht="15">
      <c r="B4" s="28"/>
      <c r="C4" s="28" t="s">
        <v>47</v>
      </c>
      <c r="D4" s="28"/>
      <c r="E4" s="28"/>
      <c r="F4" s="28"/>
      <c r="G4" s="29"/>
      <c r="H4" s="28"/>
      <c r="I4" s="28"/>
      <c r="J4" s="28"/>
      <c r="K4" s="28"/>
      <c r="L4" s="28"/>
      <c r="M4" s="28"/>
      <c r="N4" s="29"/>
      <c r="O4" s="29"/>
      <c r="P4" s="29"/>
      <c r="Q4" s="29"/>
      <c r="R4" s="28"/>
      <c r="S4" s="28"/>
    </row>
    <row r="5" spans="1:19" ht="6.75" customHeight="1">
      <c r="A5" s="1"/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1"/>
      <c r="N5" s="2"/>
      <c r="O5" s="2"/>
      <c r="P5" s="2"/>
      <c r="Q5" s="2"/>
      <c r="R5" s="1"/>
      <c r="S5" s="1"/>
    </row>
    <row r="6" spans="1:19" ht="15.95">
      <c r="A6" s="1"/>
      <c r="C6" s="6" t="s">
        <v>48</v>
      </c>
      <c r="D6" s="1"/>
      <c r="E6" s="1"/>
      <c r="F6" s="1"/>
      <c r="G6" s="2"/>
      <c r="H6" s="1"/>
      <c r="I6" s="1"/>
      <c r="J6" s="1"/>
      <c r="K6" s="1"/>
      <c r="L6" s="1"/>
      <c r="M6" s="1"/>
      <c r="N6" s="2"/>
      <c r="O6" s="2"/>
      <c r="P6" s="2"/>
      <c r="Q6" s="2"/>
      <c r="R6" s="1"/>
      <c r="S6" s="1"/>
    </row>
    <row r="7" spans="1:19" ht="15" customHeight="1" thickBot="1">
      <c r="A7" s="1"/>
      <c r="B7" s="1"/>
      <c r="C7" s="1" t="s">
        <v>2</v>
      </c>
      <c r="D7" s="1"/>
      <c r="E7" s="1"/>
      <c r="F7" s="44">
        <v>30.92</v>
      </c>
      <c r="G7" s="8" t="s">
        <v>3</v>
      </c>
      <c r="H7" s="1"/>
      <c r="I7" s="9"/>
      <c r="J7" s="1"/>
      <c r="K7" s="1"/>
      <c r="L7" s="1"/>
      <c r="M7" s="1"/>
      <c r="N7" s="2"/>
      <c r="O7" s="2"/>
      <c r="P7" s="2"/>
      <c r="Q7" s="2"/>
      <c r="R7" s="1"/>
      <c r="S7" s="1"/>
    </row>
    <row r="8" spans="1:19" ht="14.45" customHeight="1" thickTop="1">
      <c r="A8" s="1"/>
      <c r="B8" s="1"/>
      <c r="C8" s="1" t="s">
        <v>49</v>
      </c>
      <c r="D8" s="1"/>
      <c r="E8" s="1"/>
      <c r="F8" s="44">
        <v>12.94</v>
      </c>
      <c r="G8" s="8" t="s">
        <v>5</v>
      </c>
      <c r="H8" s="1"/>
      <c r="I8" s="58" t="s">
        <v>50</v>
      </c>
      <c r="J8" s="53" t="s">
        <v>7</v>
      </c>
      <c r="K8" s="55" t="s">
        <v>8</v>
      </c>
      <c r="L8" s="56"/>
      <c r="M8" s="56"/>
      <c r="N8" s="56"/>
      <c r="O8" s="64"/>
      <c r="P8" s="10"/>
      <c r="Q8" s="60" t="s">
        <v>51</v>
      </c>
      <c r="R8" s="62" t="s">
        <v>52</v>
      </c>
      <c r="S8" s="1"/>
    </row>
    <row r="9" spans="1:19" ht="13.5" customHeight="1">
      <c r="A9" s="1"/>
      <c r="B9" s="1"/>
      <c r="C9" s="21" t="s">
        <v>9</v>
      </c>
      <c r="F9" s="34">
        <f>Blad1!F2</f>
        <v>21</v>
      </c>
      <c r="G9" s="21" t="s">
        <v>10</v>
      </c>
      <c r="H9" s="1"/>
      <c r="I9" s="59"/>
      <c r="J9" s="54"/>
      <c r="K9" s="11" t="s">
        <v>11</v>
      </c>
      <c r="L9" s="11" t="s">
        <v>12</v>
      </c>
      <c r="M9" s="11" t="s">
        <v>13</v>
      </c>
      <c r="N9" s="11" t="s">
        <v>53</v>
      </c>
      <c r="O9" s="11" t="s">
        <v>54</v>
      </c>
      <c r="P9" s="11" t="s">
        <v>14</v>
      </c>
      <c r="Q9" s="61"/>
      <c r="R9" s="63"/>
      <c r="S9" s="1"/>
    </row>
    <row r="10" spans="1:19" ht="15" customHeight="1" thickBot="1">
      <c r="A10" s="1"/>
      <c r="B10" s="1"/>
      <c r="C10" s="1" t="s">
        <v>55</v>
      </c>
      <c r="D10" s="1"/>
      <c r="E10" s="1"/>
      <c r="F10" s="45">
        <v>20</v>
      </c>
      <c r="G10" s="13" t="s">
        <v>10</v>
      </c>
      <c r="H10" s="1"/>
      <c r="I10" s="14">
        <f>IF(J10&gt;0,Blad1!F4,"för många paneler")</f>
        <v>1</v>
      </c>
      <c r="J10" s="11">
        <f>Blad1!C10</f>
        <v>5</v>
      </c>
      <c r="K10" s="11">
        <f>IF(P10="W14",1,"")</f>
        <v>1</v>
      </c>
      <c r="L10" s="11" t="str">
        <f>IF(P10="W21",1,"")</f>
        <v/>
      </c>
      <c r="M10" s="11" t="str">
        <f>IF(P10="W28",1,"")</f>
        <v/>
      </c>
      <c r="N10" s="11" t="str">
        <f>IF(P10=42,P10-41,"")</f>
        <v/>
      </c>
      <c r="O10" s="11" t="str">
        <f>IF(P10&lt;20,P10,"")</f>
        <v/>
      </c>
      <c r="P10" s="11" t="str">
        <f>Blad1!C17</f>
        <v>W14</v>
      </c>
      <c r="Q10" s="11" t="str">
        <f>IF(Blad1!D19=0,"",Blad1!D19)</f>
        <v/>
      </c>
      <c r="R10" s="15" t="str">
        <f>IF(P10=42,"24U","")</f>
        <v/>
      </c>
      <c r="S10" s="1"/>
    </row>
    <row r="11" spans="1:19" ht="15.6" customHeight="1" thickTop="1" thickBot="1">
      <c r="A11" s="1"/>
      <c r="B11" s="1"/>
      <c r="C11" s="1" t="s">
        <v>56</v>
      </c>
      <c r="D11" s="1"/>
      <c r="E11" s="1"/>
      <c r="F11" s="45">
        <v>30</v>
      </c>
      <c r="G11" s="13" t="s">
        <v>10</v>
      </c>
      <c r="H11" s="1"/>
      <c r="I11" s="14">
        <f>IF(J11&gt;0,Blad1!F5,"för många paneler")</f>
        <v>2</v>
      </c>
      <c r="J11" s="11">
        <f>Blad1!F10</f>
        <v>5</v>
      </c>
      <c r="K11" s="11">
        <f>IF(P11="W14",1,"")</f>
        <v>1</v>
      </c>
      <c r="L11" s="11" t="str">
        <f>IF(P11="W21",1,"")</f>
        <v/>
      </c>
      <c r="M11" s="11" t="str">
        <f>IF(P11="W28",1,"")</f>
        <v/>
      </c>
      <c r="N11" s="11" t="str">
        <f>IF(P11=42,P11-41,"")</f>
        <v/>
      </c>
      <c r="O11" s="11" t="str">
        <f>IF(P11&lt;20,P11,"")</f>
        <v/>
      </c>
      <c r="P11" s="11" t="str">
        <f>Blad1!F17</f>
        <v>W14</v>
      </c>
      <c r="Q11" s="11" t="str">
        <f>IF(Blad1!G19=0,"",Blad1!G19)</f>
        <v/>
      </c>
      <c r="R11" s="15" t="str">
        <f>IF(P11=42,"24U","")</f>
        <v/>
      </c>
      <c r="S11" s="1"/>
    </row>
    <row r="12" spans="1:19" ht="15.6" customHeight="1" thickTop="1" thickBot="1">
      <c r="A12" s="1"/>
      <c r="B12" s="1"/>
      <c r="C12" s="1" t="s">
        <v>57</v>
      </c>
      <c r="D12" s="1"/>
      <c r="E12" s="1"/>
      <c r="F12" s="45">
        <v>86</v>
      </c>
      <c r="G12" s="16" t="s">
        <v>10</v>
      </c>
      <c r="H12" s="1"/>
      <c r="I12" s="14">
        <f>IF(J12&gt;0,Blad1!F6,"för många paneler")</f>
        <v>5</v>
      </c>
      <c r="J12" s="11">
        <f>Blad1!I10</f>
        <v>5</v>
      </c>
      <c r="K12" s="11" t="str">
        <f>IF(P12="W14",1,"")</f>
        <v/>
      </c>
      <c r="L12" s="11" t="str">
        <f>IF(P12="W21",1,"")</f>
        <v/>
      </c>
      <c r="M12" s="11" t="str">
        <f>IF(P12="W28",1,"")</f>
        <v/>
      </c>
      <c r="N12" s="11">
        <f>IF(P12=42,P12-41,"")</f>
        <v>1</v>
      </c>
      <c r="O12" s="11" t="str">
        <f>IF(P12&lt;20,P12,"")</f>
        <v/>
      </c>
      <c r="P12" s="11">
        <f>Blad1!I17</f>
        <v>42</v>
      </c>
      <c r="Q12" s="11" t="str">
        <f>IF(Blad1!J19=0,"",Blad1!J19)</f>
        <v/>
      </c>
      <c r="R12" s="15" t="str">
        <f>IF(P12=42,"24U","")</f>
        <v>24U</v>
      </c>
      <c r="S12" s="1"/>
    </row>
    <row r="13" spans="1:19" ht="15.6" customHeight="1" thickTop="1" thickBot="1">
      <c r="A13" s="1"/>
      <c r="B13" s="1"/>
      <c r="C13" s="1" t="s">
        <v>58</v>
      </c>
      <c r="D13" s="1"/>
      <c r="E13" s="1"/>
      <c r="F13" s="45"/>
      <c r="G13" s="16" t="s">
        <v>10</v>
      </c>
      <c r="H13" s="1"/>
      <c r="I13" s="14">
        <f>IF(J13&gt;0,Blad1!F7,"för många paneler")</f>
        <v>0</v>
      </c>
      <c r="J13" s="17" t="str">
        <f>Blad1!L10</f>
        <v/>
      </c>
      <c r="K13" s="17" t="str">
        <f>IF(P13="W14",1,"")</f>
        <v/>
      </c>
      <c r="L13" s="17" t="str">
        <f>IF(P13="W21",1,"")</f>
        <v/>
      </c>
      <c r="M13" s="17" t="str">
        <f>IF(P13="W28",1,"")</f>
        <v/>
      </c>
      <c r="N13" s="17" t="str">
        <f>IF(P13=42,P13-41,"")</f>
        <v/>
      </c>
      <c r="O13" s="17" t="str">
        <f>IF(P13&lt;20,P13,"")</f>
        <v/>
      </c>
      <c r="P13" s="17" t="str">
        <f>Blad1!L17</f>
        <v/>
      </c>
      <c r="Q13" s="17" t="str">
        <f>IF(Blad1!M19=0,"",Blad1!M19)</f>
        <v/>
      </c>
      <c r="R13" s="18" t="str">
        <f>IF(P13=42,"24U","")</f>
        <v/>
      </c>
      <c r="S13" s="1"/>
    </row>
    <row r="14" spans="1:19" ht="13.5" customHeight="1" thickTop="1">
      <c r="A14" s="1"/>
      <c r="B14" s="1"/>
      <c r="C14" s="21" t="s">
        <v>16</v>
      </c>
      <c r="F14" s="34">
        <f>SUM((F13+F12+F11+F10)*(F8*F7))/1000</f>
        <v>54.4142528</v>
      </c>
      <c r="G14" s="21" t="s">
        <v>17</v>
      </c>
      <c r="H14" s="1"/>
      <c r="I14" s="9"/>
      <c r="J14" s="1"/>
      <c r="K14" s="1"/>
      <c r="L14" s="1"/>
      <c r="M14" s="1"/>
      <c r="N14" s="2"/>
      <c r="O14" s="2"/>
      <c r="P14" s="2"/>
      <c r="Q14" s="2"/>
      <c r="R14" s="1"/>
      <c r="S14" s="1"/>
    </row>
    <row r="15" spans="1:19" ht="13.5" customHeight="1">
      <c r="A15" s="1"/>
      <c r="B15" s="1"/>
      <c r="C15" s="21"/>
      <c r="D15" s="1"/>
      <c r="E15" s="20"/>
      <c r="F15" s="24"/>
      <c r="G15" s="21"/>
      <c r="H15" s="1"/>
      <c r="I15" s="9"/>
      <c r="J15" s="1"/>
      <c r="K15" s="1"/>
      <c r="L15" s="1"/>
      <c r="M15" s="1"/>
      <c r="N15" s="2"/>
      <c r="O15" s="2"/>
      <c r="P15" s="2"/>
      <c r="Q15" s="2"/>
      <c r="R15" s="1"/>
      <c r="S15" s="1"/>
    </row>
    <row r="16" spans="1:19" ht="15.95">
      <c r="A16" s="1"/>
      <c r="C16" s="19" t="s">
        <v>26</v>
      </c>
      <c r="D16" s="1"/>
      <c r="E16" s="25" t="s">
        <v>27</v>
      </c>
      <c r="F16" s="1"/>
      <c r="G16" s="2"/>
      <c r="H16" s="1"/>
      <c r="I16" s="25" t="s">
        <v>28</v>
      </c>
      <c r="J16" s="26" t="s">
        <v>29</v>
      </c>
      <c r="K16" s="1"/>
      <c r="L16" s="1"/>
      <c r="M16" s="1"/>
      <c r="N16" s="2"/>
      <c r="O16" s="2"/>
      <c r="P16" s="2"/>
      <c r="Q16" s="2"/>
      <c r="R16" s="1"/>
      <c r="S16" s="1"/>
    </row>
    <row r="17" spans="1:19">
      <c r="A17" s="1"/>
      <c r="B17" s="1"/>
      <c r="C17" s="1" t="s">
        <v>30</v>
      </c>
      <c r="D17" s="1"/>
      <c r="E17" s="2">
        <v>5289195</v>
      </c>
      <c r="F17" s="2">
        <f>SUM(I10:I13)</f>
        <v>8</v>
      </c>
      <c r="G17" s="2" t="s">
        <v>10</v>
      </c>
      <c r="H17" s="1"/>
      <c r="I17" s="12">
        <v>1000</v>
      </c>
      <c r="J17" s="1">
        <f>I17*F17</f>
        <v>8000</v>
      </c>
      <c r="K17" s="1"/>
      <c r="L17" s="1"/>
      <c r="M17" s="1"/>
      <c r="N17" s="2"/>
      <c r="O17" s="2"/>
      <c r="P17" s="2"/>
      <c r="Q17" s="2"/>
      <c r="R17" s="1"/>
      <c r="S17" s="1"/>
    </row>
    <row r="18" spans="1:19">
      <c r="A18" s="1"/>
      <c r="B18" s="1"/>
      <c r="C18" s="1" t="s">
        <v>31</v>
      </c>
      <c r="D18" s="1"/>
      <c r="E18" s="2">
        <v>5289181</v>
      </c>
      <c r="F18" s="2">
        <f>COUNTIF(J10:J13,5)</f>
        <v>3</v>
      </c>
      <c r="G18" s="2" t="s">
        <v>10</v>
      </c>
      <c r="H18" s="1"/>
      <c r="I18" s="12">
        <v>1000</v>
      </c>
      <c r="J18" s="1">
        <f t="shared" ref="J18:J28" si="0">I18*F18</f>
        <v>3000</v>
      </c>
      <c r="K18" s="1"/>
      <c r="L18" s="1"/>
      <c r="M18" s="1"/>
      <c r="N18" s="2"/>
      <c r="O18" s="2"/>
      <c r="P18" s="2"/>
      <c r="Q18" s="2"/>
      <c r="R18" s="1"/>
      <c r="S18" s="1"/>
    </row>
    <row r="19" spans="1:19">
      <c r="A19" s="1"/>
      <c r="B19" s="1"/>
      <c r="C19" s="1" t="s">
        <v>59</v>
      </c>
      <c r="D19" s="1"/>
      <c r="E19" s="2">
        <v>5289180</v>
      </c>
      <c r="F19" s="2">
        <f>COUNTIF(J10:J13,8)</f>
        <v>0</v>
      </c>
      <c r="G19" s="2" t="s">
        <v>10</v>
      </c>
      <c r="H19" s="1"/>
      <c r="I19" s="12">
        <v>1000</v>
      </c>
      <c r="J19" s="1">
        <f t="shared" si="0"/>
        <v>0</v>
      </c>
      <c r="K19" s="1"/>
      <c r="L19" s="1"/>
      <c r="M19" s="1"/>
      <c r="N19" s="2"/>
      <c r="O19" s="2"/>
      <c r="P19" s="2"/>
      <c r="Q19" s="2"/>
      <c r="R19" s="1"/>
      <c r="S19" s="1"/>
    </row>
    <row r="20" spans="1:19">
      <c r="A20" s="1"/>
      <c r="B20" s="1"/>
      <c r="C20" s="1" t="s">
        <v>60</v>
      </c>
      <c r="D20" s="1"/>
      <c r="E20" s="2">
        <v>5289182</v>
      </c>
      <c r="F20" s="2">
        <f>COUNTIF(J10:J13,15)</f>
        <v>0</v>
      </c>
      <c r="G20" s="2" t="s">
        <v>10</v>
      </c>
      <c r="H20" s="1"/>
      <c r="I20" s="12">
        <v>1000</v>
      </c>
      <c r="J20" s="1">
        <f t="shared" si="0"/>
        <v>0</v>
      </c>
      <c r="K20" s="1"/>
      <c r="L20" s="1"/>
      <c r="M20" s="1"/>
      <c r="N20" s="2"/>
      <c r="O20" s="2"/>
      <c r="P20" s="2"/>
      <c r="Q20" s="2"/>
      <c r="R20" s="1"/>
      <c r="S20" s="1"/>
    </row>
    <row r="21" spans="1:19">
      <c r="C21" s="1" t="s">
        <v>33</v>
      </c>
      <c r="E21" s="2">
        <v>5289206</v>
      </c>
      <c r="F21" s="2">
        <f>SUM(K10:K13)</f>
        <v>2</v>
      </c>
      <c r="G21" s="2" t="s">
        <v>10</v>
      </c>
      <c r="I21" s="12">
        <v>1000</v>
      </c>
      <c r="J21" s="1">
        <f t="shared" si="0"/>
        <v>2000</v>
      </c>
    </row>
    <row r="22" spans="1:19">
      <c r="C22" s="1" t="s">
        <v>34</v>
      </c>
      <c r="E22" s="2">
        <v>5289199</v>
      </c>
      <c r="F22" s="2">
        <f>SUM(L10:L13)</f>
        <v>0</v>
      </c>
      <c r="G22" s="2" t="s">
        <v>10</v>
      </c>
      <c r="I22" s="12">
        <v>1000</v>
      </c>
      <c r="J22" s="1">
        <f t="shared" si="0"/>
        <v>0</v>
      </c>
    </row>
    <row r="23" spans="1:19">
      <c r="C23" s="1" t="s">
        <v>35</v>
      </c>
      <c r="E23" s="2">
        <v>5289200</v>
      </c>
      <c r="F23" s="2">
        <f>SUM(M10:M13)</f>
        <v>0</v>
      </c>
      <c r="G23" s="2" t="s">
        <v>10</v>
      </c>
      <c r="I23" s="12">
        <v>1000</v>
      </c>
      <c r="J23" s="1">
        <f t="shared" si="0"/>
        <v>0</v>
      </c>
    </row>
    <row r="24" spans="1:19">
      <c r="C24" s="1" t="s">
        <v>61</v>
      </c>
      <c r="E24" s="2">
        <v>5289205</v>
      </c>
      <c r="F24" s="2">
        <f>SUM(N10:N13)</f>
        <v>1</v>
      </c>
      <c r="G24" s="2" t="s">
        <v>10</v>
      </c>
      <c r="I24" s="12">
        <v>1000</v>
      </c>
      <c r="J24" s="1">
        <f t="shared" si="0"/>
        <v>1000</v>
      </c>
    </row>
    <row r="25" spans="1:19">
      <c r="C25" s="1" t="s">
        <v>62</v>
      </c>
      <c r="E25" s="2">
        <v>5289208</v>
      </c>
      <c r="F25" s="2">
        <f>SUM(O10:O13)</f>
        <v>0</v>
      </c>
      <c r="G25" s="2" t="s">
        <v>10</v>
      </c>
      <c r="I25" s="12">
        <v>1000</v>
      </c>
      <c r="J25" s="1">
        <f t="shared" si="0"/>
        <v>0</v>
      </c>
    </row>
    <row r="26" spans="1:19">
      <c r="C26" s="1" t="s">
        <v>63</v>
      </c>
      <c r="E26" s="2">
        <v>5289514</v>
      </c>
      <c r="F26" s="2">
        <f>COUNTIF(P10:P13,"42")</f>
        <v>1</v>
      </c>
      <c r="G26" s="2" t="s">
        <v>10</v>
      </c>
      <c r="I26" s="12">
        <v>1000</v>
      </c>
      <c r="J26" s="1">
        <f t="shared" si="0"/>
        <v>1000</v>
      </c>
    </row>
    <row r="27" spans="1:19">
      <c r="C27" s="1" t="s">
        <v>64</v>
      </c>
      <c r="E27" s="2">
        <v>5289420</v>
      </c>
      <c r="F27" s="2">
        <f>COUNTIF(Q10:Q13,"24U")</f>
        <v>0</v>
      </c>
      <c r="G27" s="2" t="s">
        <v>10</v>
      </c>
      <c r="I27" s="12">
        <v>1000</v>
      </c>
      <c r="J27" s="1">
        <f t="shared" si="0"/>
        <v>0</v>
      </c>
    </row>
    <row r="28" spans="1:19" ht="14.1" thickBot="1">
      <c r="C28" s="1" t="s">
        <v>65</v>
      </c>
      <c r="E28" s="2">
        <v>5289421</v>
      </c>
      <c r="F28" s="52">
        <f>COUNTIF(Q10:Q13,"42U")</f>
        <v>0</v>
      </c>
      <c r="G28" s="2" t="s">
        <v>10</v>
      </c>
      <c r="I28" s="12">
        <v>1000</v>
      </c>
      <c r="J28" s="36">
        <f t="shared" si="0"/>
        <v>0</v>
      </c>
    </row>
    <row r="29" spans="1:19" ht="14.1" thickTop="1">
      <c r="F29" s="2">
        <f>SUM(F17:F28)</f>
        <v>15</v>
      </c>
      <c r="I29" s="2" t="s">
        <v>40</v>
      </c>
      <c r="J29" s="20">
        <f>SUM(J17:J28)</f>
        <v>15000</v>
      </c>
    </row>
    <row r="30" spans="1:19" ht="15.95">
      <c r="C30" s="19" t="s">
        <v>41</v>
      </c>
    </row>
    <row r="31" spans="1:19">
      <c r="C31" s="1" t="s">
        <v>66</v>
      </c>
      <c r="D31" s="1"/>
      <c r="E31" s="1"/>
      <c r="F31" s="1">
        <v>1.5</v>
      </c>
      <c r="G31" s="2" t="s">
        <v>43</v>
      </c>
    </row>
    <row r="32" spans="1:19">
      <c r="C32" s="1" t="s">
        <v>67</v>
      </c>
      <c r="D32" s="1"/>
      <c r="E32" s="1"/>
      <c r="F32" s="1"/>
      <c r="G32" s="2"/>
    </row>
    <row r="33" spans="3:7">
      <c r="C33" s="37" t="s">
        <v>68</v>
      </c>
      <c r="E33" s="1"/>
      <c r="F33" s="1">
        <f>Blad1!C31</f>
        <v>1.5</v>
      </c>
      <c r="G33" s="2" t="s">
        <v>43</v>
      </c>
    </row>
    <row r="34" spans="3:7">
      <c r="C34" s="37" t="s">
        <v>69</v>
      </c>
      <c r="E34" s="1"/>
      <c r="F34" s="1">
        <f>Blad1!F31</f>
        <v>2.5</v>
      </c>
      <c r="G34" s="2" t="s">
        <v>43</v>
      </c>
    </row>
    <row r="35" spans="3:7">
      <c r="C35" s="37" t="s">
        <v>70</v>
      </c>
      <c r="E35" s="1"/>
      <c r="F35" s="1">
        <f>Blad1!I31</f>
        <v>10</v>
      </c>
      <c r="G35" s="2" t="s">
        <v>43</v>
      </c>
    </row>
    <row r="36" spans="3:7">
      <c r="C36" s="37" t="s">
        <v>71</v>
      </c>
      <c r="E36" s="1"/>
      <c r="F36" s="1" t="str">
        <f>Blad1!L31</f>
        <v/>
      </c>
      <c r="G36" s="2" t="s">
        <v>43</v>
      </c>
    </row>
    <row r="37" spans="3:7">
      <c r="C37" s="1" t="s">
        <v>45</v>
      </c>
      <c r="D37" s="1"/>
      <c r="E37" s="1"/>
      <c r="F37" s="1"/>
      <c r="G37" s="2"/>
    </row>
    <row r="38" spans="3:7">
      <c r="C38" s="37" t="s">
        <v>68</v>
      </c>
      <c r="D38" s="1"/>
      <c r="E38" s="1"/>
      <c r="F38" s="1">
        <f>Blad1!C46</f>
        <v>2.5</v>
      </c>
      <c r="G38" s="2" t="s">
        <v>43</v>
      </c>
    </row>
    <row r="39" spans="3:7">
      <c r="C39" s="37" t="s">
        <v>69</v>
      </c>
      <c r="D39" s="1"/>
      <c r="E39" s="1"/>
      <c r="F39" s="1">
        <f>Blad1!F46</f>
        <v>2.5</v>
      </c>
      <c r="G39" s="2" t="s">
        <v>43</v>
      </c>
    </row>
    <row r="40" spans="3:7">
      <c r="C40" s="37" t="s">
        <v>70</v>
      </c>
      <c r="D40" s="1"/>
      <c r="E40" s="1"/>
      <c r="F40" s="1">
        <f>Blad1!I46</f>
        <v>16</v>
      </c>
      <c r="G40" s="2" t="s">
        <v>43</v>
      </c>
    </row>
    <row r="41" spans="3:7">
      <c r="C41" s="37" t="s">
        <v>71</v>
      </c>
      <c r="D41" s="1"/>
      <c r="E41" s="1"/>
      <c r="F41" s="1" t="str">
        <f>Blad1!L46</f>
        <v/>
      </c>
      <c r="G41" s="2" t="s">
        <v>43</v>
      </c>
    </row>
    <row r="43" spans="3:7">
      <c r="C43" s="30" t="s">
        <v>72</v>
      </c>
    </row>
  </sheetData>
  <sheetProtection algorithmName="SHA-512" hashValue="lQD/ULm86TM0f1fNY9NgGDIltkTXoiHasMsqmin1LImP6rL9MNJJXf2CaXyithQkgERweJ7JAQNAXiTb3izuEA==" saltValue="lAJX/DJo53bLL73z7qJZWA==" spinCount="100000" sheet="1" objects="1" scenarios="1"/>
  <mergeCells count="5">
    <mergeCell ref="Q8:Q9"/>
    <mergeCell ref="R8:R9"/>
    <mergeCell ref="I8:I9"/>
    <mergeCell ref="J8:J9"/>
    <mergeCell ref="K8:O8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82A2-D2EC-428F-9B25-A36016B087F3}">
  <sheetPr codeName="Blad3"/>
  <dimension ref="A1:M58"/>
  <sheetViews>
    <sheetView topLeftCell="A10" workbookViewId="0">
      <selection activeCell="F13" sqref="F13:G13"/>
    </sheetView>
  </sheetViews>
  <sheetFormatPr defaultRowHeight="14.45"/>
  <cols>
    <col min="4" max="4" width="11.85546875" customWidth="1"/>
    <col min="5" max="5" width="7.42578125" customWidth="1"/>
  </cols>
  <sheetData>
    <row r="1" spans="1:12">
      <c r="A1" t="s">
        <v>73</v>
      </c>
    </row>
    <row r="2" spans="1:12">
      <c r="A2" t="s">
        <v>74</v>
      </c>
      <c r="D2" t="s">
        <v>75</v>
      </c>
      <c r="F2">
        <f>ROUNDDOWN(B3/'Ferroamp system UTAN Batteri'!F7,0)</f>
        <v>21</v>
      </c>
    </row>
    <row r="3" spans="1:12">
      <c r="A3" t="s">
        <v>76</v>
      </c>
      <c r="B3">
        <f>IF('Ferroamp system UTAN Batteri'!F8&lt;12.5,720,B4)</f>
        <v>680</v>
      </c>
    </row>
    <row r="4" spans="1:12">
      <c r="A4" t="s">
        <v>77</v>
      </c>
      <c r="B4">
        <f>IF('Ferroamp system UTAN Batteri'!F8&lt;13,680,B5)</f>
        <v>680</v>
      </c>
      <c r="D4" t="s">
        <v>78</v>
      </c>
      <c r="F4">
        <f>ROUNDUP('Ferroamp system UTAN Batteri'!F10/Blad1!F2,0)</f>
        <v>1</v>
      </c>
    </row>
    <row r="5" spans="1:12">
      <c r="A5" t="s">
        <v>79</v>
      </c>
      <c r="B5">
        <f>IF('Ferroamp system UTAN Batteri'!F8&lt;13.5,640,B6)</f>
        <v>640</v>
      </c>
      <c r="D5" t="s">
        <v>80</v>
      </c>
      <c r="F5">
        <f>ROUNDUP('Ferroamp system UTAN Batteri'!F11/Blad1!F2,0)</f>
        <v>2</v>
      </c>
    </row>
    <row r="6" spans="1:12">
      <c r="A6" t="s">
        <v>81</v>
      </c>
      <c r="B6">
        <f>IF('Ferroamp system UTAN Batteri'!F8&lt;14.01,600,0)</f>
        <v>600</v>
      </c>
      <c r="D6" t="s">
        <v>82</v>
      </c>
      <c r="F6">
        <f>ROUNDUP('Ferroamp system UTAN Batteri'!F12/Blad1!F2,0)</f>
        <v>5</v>
      </c>
    </row>
    <row r="7" spans="1:12">
      <c r="D7" t="s">
        <v>83</v>
      </c>
      <c r="F7">
        <f>ROUNDUP('Ferroamp system UTAN Batteri'!F13/Blad1!F2,0)</f>
        <v>0</v>
      </c>
    </row>
    <row r="9" spans="1:12">
      <c r="A9" t="s">
        <v>84</v>
      </c>
    </row>
    <row r="10" spans="1:12">
      <c r="A10" t="s">
        <v>85</v>
      </c>
      <c r="C10">
        <f>C11</f>
        <v>5</v>
      </c>
      <c r="D10" t="s">
        <v>86</v>
      </c>
      <c r="F10">
        <f>F11</f>
        <v>5</v>
      </c>
      <c r="G10" t="s">
        <v>87</v>
      </c>
      <c r="I10">
        <f>I11</f>
        <v>5</v>
      </c>
      <c r="J10" t="s">
        <v>88</v>
      </c>
      <c r="L10" t="str">
        <f>L11</f>
        <v/>
      </c>
    </row>
    <row r="11" spans="1:12">
      <c r="A11" s="4" t="s">
        <v>89</v>
      </c>
      <c r="C11">
        <f>IF(F4&lt;1,"",C12)</f>
        <v>5</v>
      </c>
      <c r="F11">
        <f>IF(F5&lt;1,"",F12)</f>
        <v>5</v>
      </c>
      <c r="I11">
        <f>IF(F6&lt;1,"",I12)</f>
        <v>5</v>
      </c>
      <c r="L11" t="str">
        <f>IF(F7&lt;1,"",L12)</f>
        <v/>
      </c>
    </row>
    <row r="12" spans="1:12">
      <c r="A12" s="4" t="s">
        <v>90</v>
      </c>
      <c r="C12">
        <f>IF(F4&lt;6,5,C13)</f>
        <v>5</v>
      </c>
      <c r="F12">
        <f>IF(F5&lt;6,5,F13)</f>
        <v>5</v>
      </c>
      <c r="I12">
        <f>IF(F6&lt;6,5,I13)</f>
        <v>5</v>
      </c>
      <c r="L12">
        <f>IF(F7&lt;6,5,L13)</f>
        <v>5</v>
      </c>
    </row>
    <row r="13" spans="1:12">
      <c r="A13" s="3" t="s">
        <v>91</v>
      </c>
      <c r="C13">
        <f>IF(F4&lt;9,8,C14)</f>
        <v>8</v>
      </c>
      <c r="F13">
        <f>IF(F5&lt;9,8,F14)</f>
        <v>8</v>
      </c>
      <c r="I13">
        <f>IF(F6&lt;9,8,I14)</f>
        <v>8</v>
      </c>
      <c r="L13">
        <f>IF(F7&lt;9,8,L14)</f>
        <v>8</v>
      </c>
    </row>
    <row r="14" spans="1:12">
      <c r="A14" s="4" t="s">
        <v>92</v>
      </c>
      <c r="C14">
        <f>IF(F4&lt;16,15,0)</f>
        <v>15</v>
      </c>
      <c r="F14">
        <f>IF(F5&lt;16,15,0)</f>
        <v>15</v>
      </c>
      <c r="I14">
        <f>IF(F6&lt;16,15,0)</f>
        <v>15</v>
      </c>
      <c r="L14">
        <f>IF(F7&lt;16,15,0)</f>
        <v>15</v>
      </c>
    </row>
    <row r="16" spans="1:12">
      <c r="A16" t="s">
        <v>14</v>
      </c>
    </row>
    <row r="17" spans="1:13">
      <c r="A17" t="s">
        <v>93</v>
      </c>
      <c r="C17" t="str">
        <f>C19</f>
        <v>W14</v>
      </c>
      <c r="D17" t="s">
        <v>94</v>
      </c>
      <c r="F17" t="str">
        <f>F19</f>
        <v>W14</v>
      </c>
      <c r="G17" t="s">
        <v>95</v>
      </c>
      <c r="I17">
        <f>I19</f>
        <v>42</v>
      </c>
      <c r="J17" t="s">
        <v>96</v>
      </c>
      <c r="L17" t="str">
        <f>L19</f>
        <v/>
      </c>
    </row>
    <row r="18" spans="1:13">
      <c r="A18" t="s">
        <v>97</v>
      </c>
      <c r="C18">
        <f>'Ferroamp system UTAN Batteri'!$F$7*'Ferroamp system UTAN Batteri'!$F$8*'Ferroamp system UTAN Batteri'!F10/1000</f>
        <v>8.0020959999999999</v>
      </c>
      <c r="D18" t="s">
        <v>98</v>
      </c>
      <c r="F18">
        <f>'Ferroamp system UTAN Batteri'!$F$7*'Ferroamp system UTAN Batteri'!$F$8*'Ferroamp system UTAN Batteri'!F11/1000</f>
        <v>12.003144000000001</v>
      </c>
      <c r="G18" t="s">
        <v>99</v>
      </c>
      <c r="I18">
        <f>'Ferroamp system UTAN Batteri'!$F$7*'Ferroamp system UTAN Batteri'!$F$8*'Ferroamp system UTAN Batteri'!F12/1000</f>
        <v>34.409012800000006</v>
      </c>
      <c r="J18" t="s">
        <v>100</v>
      </c>
      <c r="L18">
        <f>'Ferroamp system UTAN Batteri'!$F$7*'Ferroamp system UTAN Batteri'!$F$8*'Ferroamp system UTAN Batteri'!F13/1000</f>
        <v>0</v>
      </c>
    </row>
    <row r="19" spans="1:13">
      <c r="A19">
        <v>0.1</v>
      </c>
      <c r="C19" t="str">
        <f>IF(C$18&lt;$A$19,"",C20)</f>
        <v>W14</v>
      </c>
      <c r="D19">
        <f>IF(C$18&lt;$A19,0,D20)</f>
        <v>0</v>
      </c>
      <c r="F19" t="str">
        <f>IF(F$18&lt;$A$19,"",F20)</f>
        <v>W14</v>
      </c>
      <c r="G19">
        <f>IF(F$18&lt;$A19,0,G20)</f>
        <v>0</v>
      </c>
      <c r="I19">
        <f>IF(I$18&lt;$A$19,"",I20)</f>
        <v>42</v>
      </c>
      <c r="J19">
        <f>IF(I$18&lt;$A19,0,J20)</f>
        <v>0</v>
      </c>
      <c r="L19" t="str">
        <f>IF(L$18&lt;$A$19,"",L20)</f>
        <v/>
      </c>
      <c r="M19">
        <f>IF(L$18&lt;$A19,0,M20)</f>
        <v>0</v>
      </c>
    </row>
    <row r="20" spans="1:13">
      <c r="A20" s="4">
        <v>15.4</v>
      </c>
      <c r="B20" t="s">
        <v>11</v>
      </c>
      <c r="C20" t="str">
        <f>IF(C$18&lt;$A$20,"W14",C21)</f>
        <v>W14</v>
      </c>
      <c r="D20">
        <f>IF(C$18&lt;$A20,0,D21)</f>
        <v>0</v>
      </c>
      <c r="F20" t="str">
        <f>IF(F$18&lt;$A$20,"W14",F21)</f>
        <v>W14</v>
      </c>
      <c r="G20">
        <f>IF(F$18&lt;$A20,0,G21)</f>
        <v>0</v>
      </c>
      <c r="I20">
        <f>IF(I$18&lt;$A$20,"W14",I21)</f>
        <v>42</v>
      </c>
      <c r="J20">
        <f>IF(I$18&lt;$A20,0,J21)</f>
        <v>0</v>
      </c>
      <c r="L20" t="str">
        <f>IF(L$18&lt;$A$20,"W14",L21)</f>
        <v>W14</v>
      </c>
      <c r="M20">
        <f>IF(L$18&lt;$A20,0,M21)</f>
        <v>0</v>
      </c>
    </row>
    <row r="21" spans="1:13">
      <c r="A21" s="4">
        <v>23.1</v>
      </c>
      <c r="B21" t="s">
        <v>12</v>
      </c>
      <c r="C21" t="str">
        <f>IF(C$18&lt;$A$21,"W21",C22)</f>
        <v>W21</v>
      </c>
      <c r="D21">
        <f>IF(C$18&lt;$A21,0,D22)</f>
        <v>0</v>
      </c>
      <c r="F21" t="str">
        <f>IF(F$18&lt;$A$21,"W21",F22)</f>
        <v>W21</v>
      </c>
      <c r="G21">
        <f>IF(F$18&lt;$A21,0,G22)</f>
        <v>0</v>
      </c>
      <c r="I21">
        <f>IF(I$18&lt;$A$21,"W21",I22)</f>
        <v>42</v>
      </c>
      <c r="J21">
        <f>IF(I$18&lt;$A21,0,J22)</f>
        <v>0</v>
      </c>
      <c r="L21" t="str">
        <f>IF(L$18&lt;$A$21,"W21",L22)</f>
        <v>W21</v>
      </c>
      <c r="M21">
        <f>IF(L$18&lt;$A21,0,M22)</f>
        <v>0</v>
      </c>
    </row>
    <row r="22" spans="1:13">
      <c r="A22" s="4">
        <v>30.8</v>
      </c>
      <c r="B22" t="s">
        <v>13</v>
      </c>
      <c r="C22" t="str">
        <f>IF(C$18&lt;$A$22,"W28",C23)</f>
        <v>W28</v>
      </c>
      <c r="D22">
        <f>IF(C$18&lt;$A22,0,D23)</f>
        <v>0</v>
      </c>
      <c r="F22" t="str">
        <f>IF(F$18&lt;$A$22,"W28",F23)</f>
        <v>W28</v>
      </c>
      <c r="G22">
        <f>IF(F$18&lt;$A22,0,G23)</f>
        <v>0</v>
      </c>
      <c r="I22">
        <f>IF(I$18&lt;$A$22,"W28",I23)</f>
        <v>42</v>
      </c>
      <c r="J22">
        <f>IF(I$18&lt;$A22,0,J23)</f>
        <v>0</v>
      </c>
      <c r="L22" t="str">
        <f>IF(L$18&lt;$A$22,"W28",L23)</f>
        <v>W28</v>
      </c>
      <c r="M22">
        <f>IF(L$18&lt;$A22,0,M23)</f>
        <v>0</v>
      </c>
    </row>
    <row r="23" spans="1:13">
      <c r="A23" s="4">
        <v>46.2</v>
      </c>
      <c r="B23" t="s">
        <v>101</v>
      </c>
      <c r="C23">
        <f>IF(C$18&lt;$A$23,42,C24)</f>
        <v>42</v>
      </c>
      <c r="D23">
        <f>IF(C$18&lt;$A23,0,D24)</f>
        <v>0</v>
      </c>
      <c r="F23">
        <f>IF(F$18&lt;$A$23,42,F24)</f>
        <v>42</v>
      </c>
      <c r="G23">
        <f>IF(F$18&lt;$A23,0,G24)</f>
        <v>0</v>
      </c>
      <c r="I23">
        <f>IF(I$18&lt;$A$23,42,I24)</f>
        <v>42</v>
      </c>
      <c r="J23">
        <f>IF(I$18&lt;$A23,0,J24)</f>
        <v>0</v>
      </c>
      <c r="L23">
        <f>IF(L$18&lt;$A$23,42,L24)</f>
        <v>42</v>
      </c>
      <c r="M23">
        <f>IF(L$18&lt;$A23,0,M24)</f>
        <v>0</v>
      </c>
    </row>
    <row r="24" spans="1:13">
      <c r="A24" s="4">
        <v>61.6</v>
      </c>
      <c r="B24" t="s">
        <v>102</v>
      </c>
      <c r="C24">
        <f>IF(C$18&lt;$A$24,1,C25)</f>
        <v>1</v>
      </c>
      <c r="D24" t="str">
        <f>IF(C$18&lt;$A24,"24U",D25)</f>
        <v>24U</v>
      </c>
      <c r="F24">
        <f>IF(F$18&lt;$A$24,1,F25)</f>
        <v>1</v>
      </c>
      <c r="G24" t="str">
        <f>IF(F$18&lt;$A24,"24U",G25)</f>
        <v>24U</v>
      </c>
      <c r="I24">
        <f>IF(I$18&lt;$A$24,1,I25)</f>
        <v>1</v>
      </c>
      <c r="J24" t="str">
        <f>IF(I$18&lt;$A24,"24U",J25)</f>
        <v>24U</v>
      </c>
      <c r="L24">
        <f>IF(L$18&lt;$A$24,1,L25)</f>
        <v>1</v>
      </c>
      <c r="M24" t="str">
        <f>IF(L$18&lt;$A24,"24U",M25)</f>
        <v>24U</v>
      </c>
    </row>
    <row r="25" spans="1:13">
      <c r="A25" s="4">
        <v>92.4</v>
      </c>
      <c r="B25" t="s">
        <v>103</v>
      </c>
      <c r="C25">
        <f>IF(C$18&lt;$A$25,2,C26)</f>
        <v>2</v>
      </c>
      <c r="D25" t="str">
        <f>IF(C$18&lt;$A25,"24U",D26)</f>
        <v>24U</v>
      </c>
      <c r="F25">
        <f>IF(F$18&lt;$A$25,2,F26)</f>
        <v>2</v>
      </c>
      <c r="G25" t="str">
        <f>IF(F$18&lt;$A25,"24U",G26)</f>
        <v>24U</v>
      </c>
      <c r="I25">
        <f>IF(I$18&lt;$A$25,2,I26)</f>
        <v>2</v>
      </c>
      <c r="J25" t="str">
        <f>IF(I$18&lt;$A25,"24U",J26)</f>
        <v>24U</v>
      </c>
      <c r="L25">
        <f>IF(L$18&lt;$A$25,2,L26)</f>
        <v>2</v>
      </c>
      <c r="M25" t="str">
        <f>IF(L$18&lt;$A25,"24U",M26)</f>
        <v>24U</v>
      </c>
    </row>
    <row r="26" spans="1:13">
      <c r="A26">
        <v>123.2</v>
      </c>
      <c r="B26" t="s">
        <v>104</v>
      </c>
      <c r="C26">
        <f>IF(C$18&lt;$A$26,3,C27)</f>
        <v>3</v>
      </c>
      <c r="D26" t="str">
        <f>IF(C$18&lt;$A26,"42U",D27)</f>
        <v>42U</v>
      </c>
      <c r="F26">
        <f>IF(F$18&lt;$A$26,3,F27)</f>
        <v>3</v>
      </c>
      <c r="G26" t="str">
        <f>IF(F$18&lt;$A26,"42U",G27)</f>
        <v>42U</v>
      </c>
      <c r="I26">
        <f>IF(I$18&lt;$A$26,3,I27)</f>
        <v>3</v>
      </c>
      <c r="J26" t="str">
        <f>IF(I$18&lt;$A26,"42U",J27)</f>
        <v>42U</v>
      </c>
      <c r="L26">
        <f>IF(L$18&lt;$A$26,3,L27)</f>
        <v>3</v>
      </c>
      <c r="M26" t="str">
        <f>IF(L$18&lt;$A26,"42U",M27)</f>
        <v>42U</v>
      </c>
    </row>
    <row r="27" spans="1:13">
      <c r="A27">
        <v>154</v>
      </c>
      <c r="B27" t="s">
        <v>105</v>
      </c>
      <c r="C27">
        <f>IF(C$18&lt;$A$27,4,C28)</f>
        <v>4</v>
      </c>
      <c r="D27" t="str">
        <f>IF(C$18&lt;$A27,"42U",D28)</f>
        <v>42U</v>
      </c>
      <c r="F27">
        <f>IF(F$18&lt;$A$27,4,F28)</f>
        <v>4</v>
      </c>
      <c r="G27" t="str">
        <f>IF(F$18&lt;$A27,"42U",G28)</f>
        <v>42U</v>
      </c>
      <c r="I27">
        <f>IF(I$18&lt;$A$27,4,I28)</f>
        <v>4</v>
      </c>
      <c r="J27" t="str">
        <f>IF(I$18&lt;$A27,"42U",J28)</f>
        <v>42U</v>
      </c>
      <c r="L27">
        <f>IF(L$18&lt;$A$27,4,L28)</f>
        <v>4</v>
      </c>
      <c r="M27" t="str">
        <f>IF(L$18&lt;$A27,"42U",M28)</f>
        <v>42U</v>
      </c>
    </row>
    <row r="30" spans="1:13">
      <c r="A30" t="s">
        <v>106</v>
      </c>
    </row>
    <row r="31" spans="1:13">
      <c r="A31" t="s">
        <v>107</v>
      </c>
      <c r="C31">
        <f>C33</f>
        <v>1.5</v>
      </c>
      <c r="D31" t="s">
        <v>108</v>
      </c>
      <c r="F31">
        <f>F33</f>
        <v>2.5</v>
      </c>
      <c r="G31" t="s">
        <v>109</v>
      </c>
      <c r="I31">
        <f>I33</f>
        <v>10</v>
      </c>
      <c r="J31" t="s">
        <v>110</v>
      </c>
      <c r="L31" t="str">
        <f>L33</f>
        <v/>
      </c>
    </row>
    <row r="32" spans="1:13">
      <c r="A32" t="s">
        <v>97</v>
      </c>
      <c r="C32">
        <f>C18</f>
        <v>8.0020959999999999</v>
      </c>
      <c r="D32" t="s">
        <v>98</v>
      </c>
      <c r="F32">
        <f>F18</f>
        <v>12.003144000000001</v>
      </c>
      <c r="G32" t="s">
        <v>99</v>
      </c>
      <c r="I32">
        <f>I18</f>
        <v>34.409012800000006</v>
      </c>
      <c r="J32" t="s">
        <v>100</v>
      </c>
      <c r="L32">
        <f>L18</f>
        <v>0</v>
      </c>
    </row>
    <row r="33" spans="1:12">
      <c r="A33" s="4">
        <v>0.1</v>
      </c>
      <c r="C33">
        <f>IF(C$32&lt;$A33,"",C34)</f>
        <v>1.5</v>
      </c>
      <c r="F33">
        <f>IF(F$32&lt;$A33,"",F34)</f>
        <v>2.5</v>
      </c>
      <c r="I33">
        <f>IF(I$32&lt;$A33,"",I34)</f>
        <v>10</v>
      </c>
      <c r="L33" t="str">
        <f>IF(L$32&lt;$A33,"",L34)</f>
        <v/>
      </c>
    </row>
    <row r="34" spans="1:12">
      <c r="A34" s="4">
        <v>12</v>
      </c>
      <c r="B34">
        <v>1.5</v>
      </c>
      <c r="C34">
        <f t="shared" ref="C34:C43" si="0">IF(C$32&lt;$A34,B34,C35)</f>
        <v>1.5</v>
      </c>
      <c r="F34">
        <f t="shared" ref="F34:F43" si="1">IF(F$32&lt;$A34,B34,F35)</f>
        <v>2.5</v>
      </c>
      <c r="I34">
        <f t="shared" ref="I34:I43" si="2">IF(I$32&lt;$A34,B34,I35)</f>
        <v>10</v>
      </c>
      <c r="L34">
        <f>IF(L$32&lt;$A34,B34,L35)</f>
        <v>1.5</v>
      </c>
    </row>
    <row r="35" spans="1:12">
      <c r="A35" s="4">
        <v>18</v>
      </c>
      <c r="B35">
        <v>2.5</v>
      </c>
      <c r="C35">
        <f t="shared" si="0"/>
        <v>2.5</v>
      </c>
      <c r="F35">
        <f t="shared" si="1"/>
        <v>2.5</v>
      </c>
      <c r="I35">
        <f t="shared" si="2"/>
        <v>10</v>
      </c>
      <c r="L35">
        <f t="shared" ref="L35:L43" si="3">IF(L$32&lt;$A35,B35,L36)</f>
        <v>2.5</v>
      </c>
    </row>
    <row r="36" spans="1:12">
      <c r="A36" s="4">
        <v>24</v>
      </c>
      <c r="B36">
        <v>4</v>
      </c>
      <c r="C36">
        <f t="shared" si="0"/>
        <v>4</v>
      </c>
      <c r="F36">
        <f t="shared" si="1"/>
        <v>4</v>
      </c>
      <c r="I36">
        <f t="shared" si="2"/>
        <v>10</v>
      </c>
      <c r="L36">
        <f t="shared" si="3"/>
        <v>4</v>
      </c>
    </row>
    <row r="37" spans="1:12">
      <c r="A37" s="4">
        <v>31</v>
      </c>
      <c r="B37">
        <v>6</v>
      </c>
      <c r="C37">
        <f t="shared" si="0"/>
        <v>6</v>
      </c>
      <c r="F37">
        <f t="shared" si="1"/>
        <v>6</v>
      </c>
      <c r="I37">
        <f t="shared" si="2"/>
        <v>10</v>
      </c>
      <c r="L37">
        <f t="shared" si="3"/>
        <v>6</v>
      </c>
    </row>
    <row r="38" spans="1:12">
      <c r="A38" s="4">
        <v>43</v>
      </c>
      <c r="B38">
        <v>10</v>
      </c>
      <c r="C38">
        <f t="shared" si="0"/>
        <v>10</v>
      </c>
      <c r="F38">
        <f t="shared" si="1"/>
        <v>10</v>
      </c>
      <c r="I38">
        <f t="shared" si="2"/>
        <v>10</v>
      </c>
      <c r="L38">
        <f t="shared" si="3"/>
        <v>10</v>
      </c>
    </row>
    <row r="39" spans="1:12">
      <c r="A39" s="4">
        <v>57</v>
      </c>
      <c r="B39">
        <v>16</v>
      </c>
      <c r="C39">
        <f t="shared" si="0"/>
        <v>16</v>
      </c>
      <c r="F39">
        <f t="shared" si="1"/>
        <v>16</v>
      </c>
      <c r="I39">
        <f t="shared" si="2"/>
        <v>16</v>
      </c>
      <c r="L39">
        <f t="shared" si="3"/>
        <v>16</v>
      </c>
    </row>
    <row r="40" spans="1:12">
      <c r="A40" s="4">
        <v>76</v>
      </c>
      <c r="B40">
        <v>25</v>
      </c>
      <c r="C40">
        <f t="shared" si="0"/>
        <v>25</v>
      </c>
      <c r="F40">
        <f t="shared" si="1"/>
        <v>25</v>
      </c>
      <c r="I40">
        <f t="shared" si="2"/>
        <v>25</v>
      </c>
      <c r="L40">
        <f t="shared" si="3"/>
        <v>25</v>
      </c>
    </row>
    <row r="41" spans="1:12">
      <c r="A41" s="4">
        <v>94</v>
      </c>
      <c r="B41">
        <v>35</v>
      </c>
      <c r="C41">
        <f t="shared" si="0"/>
        <v>35</v>
      </c>
      <c r="F41">
        <f t="shared" si="1"/>
        <v>35</v>
      </c>
      <c r="I41">
        <f t="shared" si="2"/>
        <v>35</v>
      </c>
      <c r="L41">
        <f t="shared" si="3"/>
        <v>35</v>
      </c>
    </row>
    <row r="42" spans="1:12">
      <c r="A42" s="4">
        <v>114</v>
      </c>
      <c r="B42">
        <v>50</v>
      </c>
      <c r="C42">
        <f t="shared" si="0"/>
        <v>50</v>
      </c>
      <c r="F42">
        <f t="shared" si="1"/>
        <v>50</v>
      </c>
      <c r="I42">
        <f t="shared" si="2"/>
        <v>50</v>
      </c>
      <c r="L42">
        <f t="shared" si="3"/>
        <v>50</v>
      </c>
    </row>
    <row r="43" spans="1:12">
      <c r="A43" s="4">
        <v>145</v>
      </c>
      <c r="B43">
        <v>70</v>
      </c>
      <c r="C43">
        <f t="shared" si="0"/>
        <v>70</v>
      </c>
      <c r="F43">
        <f t="shared" si="1"/>
        <v>70</v>
      </c>
      <c r="I43">
        <f t="shared" si="2"/>
        <v>70</v>
      </c>
      <c r="L43">
        <f t="shared" si="3"/>
        <v>70</v>
      </c>
    </row>
    <row r="45" spans="1:12">
      <c r="A45" t="s">
        <v>111</v>
      </c>
    </row>
    <row r="46" spans="1:12">
      <c r="A46" t="s">
        <v>107</v>
      </c>
      <c r="C46">
        <f>C48</f>
        <v>2.5</v>
      </c>
      <c r="D46" t="s">
        <v>108</v>
      </c>
      <c r="F46">
        <f>F48</f>
        <v>2.5</v>
      </c>
      <c r="G46" t="s">
        <v>109</v>
      </c>
      <c r="I46">
        <f>I48</f>
        <v>16</v>
      </c>
      <c r="J46" t="s">
        <v>110</v>
      </c>
      <c r="L46" t="str">
        <f>L48</f>
        <v/>
      </c>
    </row>
    <row r="47" spans="1:12">
      <c r="A47" t="s">
        <v>97</v>
      </c>
      <c r="C47">
        <f>C32</f>
        <v>8.0020959999999999</v>
      </c>
      <c r="D47" t="s">
        <v>98</v>
      </c>
      <c r="F47">
        <f>F32</f>
        <v>12.003144000000001</v>
      </c>
      <c r="G47" t="s">
        <v>99</v>
      </c>
      <c r="I47">
        <f>I32</f>
        <v>34.409012800000006</v>
      </c>
      <c r="J47" t="s">
        <v>100</v>
      </c>
      <c r="L47">
        <f>L32</f>
        <v>0</v>
      </c>
    </row>
    <row r="48" spans="1:12">
      <c r="A48" s="4">
        <v>0.1</v>
      </c>
      <c r="B48">
        <v>2.5</v>
      </c>
      <c r="C48">
        <f>IF(C$32&lt;$A48,"",C49)</f>
        <v>2.5</v>
      </c>
      <c r="F48">
        <f>IF(F$32&lt;$A48,"",F49)</f>
        <v>2.5</v>
      </c>
      <c r="I48">
        <f>IF(I$32&lt;$A48,"",I49)</f>
        <v>16</v>
      </c>
      <c r="L48" t="str">
        <f>IF(L$32&lt;$A48,"",L49)</f>
        <v/>
      </c>
    </row>
    <row r="49" spans="1:12">
      <c r="A49" s="4">
        <v>14</v>
      </c>
      <c r="B49">
        <v>2.5</v>
      </c>
      <c r="C49">
        <f t="shared" ref="C49:C58" si="4">IF(C$32&lt;$A49,B49,C50)</f>
        <v>2.5</v>
      </c>
      <c r="F49">
        <f t="shared" ref="F49:F58" si="5">IF(F$32&lt;$A49,B49,F50)</f>
        <v>2.5</v>
      </c>
      <c r="I49">
        <f t="shared" ref="I49:I58" si="6">IF(I$32&lt;$A49,B49,I50)</f>
        <v>16</v>
      </c>
      <c r="L49">
        <f>IF(L$32&lt;$A49,B49,L50)</f>
        <v>2.5</v>
      </c>
    </row>
    <row r="50" spans="1:12">
      <c r="A50" s="4">
        <v>19</v>
      </c>
      <c r="B50">
        <v>4</v>
      </c>
      <c r="C50">
        <f t="shared" si="4"/>
        <v>4</v>
      </c>
      <c r="F50">
        <f t="shared" si="5"/>
        <v>4</v>
      </c>
      <c r="I50">
        <f t="shared" si="6"/>
        <v>16</v>
      </c>
      <c r="L50">
        <f t="shared" ref="L50:L58" si="7">IF(L$32&lt;$A50,B50,L51)</f>
        <v>4</v>
      </c>
    </row>
    <row r="51" spans="1:12">
      <c r="A51" s="4">
        <v>24</v>
      </c>
      <c r="B51">
        <v>6</v>
      </c>
      <c r="C51">
        <f t="shared" si="4"/>
        <v>6</v>
      </c>
      <c r="F51">
        <f t="shared" si="5"/>
        <v>6</v>
      </c>
      <c r="I51">
        <f t="shared" si="6"/>
        <v>16</v>
      </c>
      <c r="L51">
        <f t="shared" si="7"/>
        <v>6</v>
      </c>
    </row>
    <row r="52" spans="1:12">
      <c r="A52" s="4">
        <v>34</v>
      </c>
      <c r="B52">
        <v>10</v>
      </c>
      <c r="C52">
        <f t="shared" si="4"/>
        <v>10</v>
      </c>
      <c r="F52">
        <f t="shared" si="5"/>
        <v>10</v>
      </c>
      <c r="I52">
        <f t="shared" si="6"/>
        <v>16</v>
      </c>
      <c r="L52">
        <f t="shared" si="7"/>
        <v>10</v>
      </c>
    </row>
    <row r="53" spans="1:12">
      <c r="A53" s="4">
        <v>47</v>
      </c>
      <c r="B53">
        <v>16</v>
      </c>
      <c r="C53">
        <f t="shared" si="4"/>
        <v>16</v>
      </c>
      <c r="F53">
        <f t="shared" si="5"/>
        <v>16</v>
      </c>
      <c r="I53">
        <f t="shared" si="6"/>
        <v>16</v>
      </c>
      <c r="L53">
        <f t="shared" si="7"/>
        <v>16</v>
      </c>
    </row>
    <row r="54" spans="1:12">
      <c r="A54" s="4">
        <v>61</v>
      </c>
      <c r="B54">
        <v>25</v>
      </c>
      <c r="C54">
        <f t="shared" si="4"/>
        <v>25</v>
      </c>
      <c r="F54">
        <f t="shared" si="5"/>
        <v>25</v>
      </c>
      <c r="I54">
        <f t="shared" si="6"/>
        <v>25</v>
      </c>
      <c r="L54">
        <f t="shared" si="7"/>
        <v>25</v>
      </c>
    </row>
    <row r="55" spans="1:12">
      <c r="A55" s="4">
        <v>76</v>
      </c>
      <c r="B55">
        <v>35</v>
      </c>
      <c r="C55">
        <f t="shared" si="4"/>
        <v>35</v>
      </c>
      <c r="F55">
        <f t="shared" si="5"/>
        <v>35</v>
      </c>
      <c r="I55">
        <f t="shared" si="6"/>
        <v>35</v>
      </c>
      <c r="L55">
        <f t="shared" si="7"/>
        <v>35</v>
      </c>
    </row>
    <row r="56" spans="1:12">
      <c r="A56" s="4">
        <v>92</v>
      </c>
      <c r="B56">
        <v>50</v>
      </c>
      <c r="C56">
        <f t="shared" si="4"/>
        <v>50</v>
      </c>
      <c r="F56">
        <f t="shared" si="5"/>
        <v>50</v>
      </c>
      <c r="I56">
        <f t="shared" si="6"/>
        <v>50</v>
      </c>
      <c r="L56">
        <f t="shared" si="7"/>
        <v>50</v>
      </c>
    </row>
    <row r="57" spans="1:12">
      <c r="A57" s="4">
        <v>118</v>
      </c>
      <c r="B57">
        <v>70</v>
      </c>
      <c r="C57">
        <f t="shared" si="4"/>
        <v>70</v>
      </c>
      <c r="F57">
        <f t="shared" si="5"/>
        <v>70</v>
      </c>
      <c r="I57">
        <f t="shared" si="6"/>
        <v>70</v>
      </c>
      <c r="L57">
        <f t="shared" si="7"/>
        <v>70</v>
      </c>
    </row>
    <row r="58" spans="1:12">
      <c r="A58" s="4">
        <v>143</v>
      </c>
      <c r="B58">
        <v>95</v>
      </c>
      <c r="C58">
        <f t="shared" si="4"/>
        <v>95</v>
      </c>
      <c r="F58">
        <f t="shared" si="5"/>
        <v>95</v>
      </c>
      <c r="I58">
        <f t="shared" si="6"/>
        <v>95</v>
      </c>
      <c r="L58">
        <f t="shared" si="7"/>
        <v>95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3EC9-292A-4931-94B1-142AAC701087}">
  <sheetPr codeName="Blad4"/>
  <dimension ref="A1:H72"/>
  <sheetViews>
    <sheetView topLeftCell="A21" workbookViewId="0">
      <selection activeCell="D34" sqref="D34"/>
    </sheetView>
  </sheetViews>
  <sheetFormatPr defaultRowHeight="14.45"/>
  <cols>
    <col min="4" max="4" width="11.85546875" customWidth="1"/>
    <col min="5" max="5" width="10.85546875" bestFit="1" customWidth="1"/>
  </cols>
  <sheetData>
    <row r="1" spans="1:6">
      <c r="A1" t="s">
        <v>73</v>
      </c>
    </row>
    <row r="2" spans="1:6">
      <c r="A2" t="s">
        <v>74</v>
      </c>
      <c r="D2" t="s">
        <v>75</v>
      </c>
      <c r="F2">
        <f>ROUNDDOWN(B3/'Ferroamp system MED Batteri'!E7,0)</f>
        <v>21</v>
      </c>
    </row>
    <row r="3" spans="1:6">
      <c r="A3" t="s">
        <v>76</v>
      </c>
      <c r="B3">
        <f>IF('Ferroamp system MED Batteri'!E8&lt;12.5,720,B4)</f>
        <v>680</v>
      </c>
    </row>
    <row r="4" spans="1:6">
      <c r="A4" t="s">
        <v>77</v>
      </c>
      <c r="B4">
        <f>IF('Ferroamp system MED Batteri'!E8&lt;13,680,B5)</f>
        <v>680</v>
      </c>
      <c r="D4" t="s">
        <v>78</v>
      </c>
      <c r="F4">
        <f>ROUNDUP('Ferroamp system MED Batteri'!E10/Blad1batt!F2,0)</f>
        <v>1</v>
      </c>
    </row>
    <row r="5" spans="1:6">
      <c r="A5" t="s">
        <v>79</v>
      </c>
      <c r="B5">
        <f>IF('Ferroamp system MED Batteri'!E8&lt;13.5,640,B6)</f>
        <v>640</v>
      </c>
    </row>
    <row r="6" spans="1:6">
      <c r="A6" t="s">
        <v>81</v>
      </c>
      <c r="B6">
        <f>IF('Ferroamp system MED Batteri'!E8&lt;14.01,600,0)</f>
        <v>600</v>
      </c>
    </row>
    <row r="9" spans="1:6">
      <c r="A9" t="s">
        <v>84</v>
      </c>
    </row>
    <row r="10" spans="1:6">
      <c r="A10" t="s">
        <v>85</v>
      </c>
      <c r="C10" t="str">
        <f>C11</f>
        <v>PowerCase</v>
      </c>
    </row>
    <row r="11" spans="1:6">
      <c r="A11" s="4" t="s">
        <v>89</v>
      </c>
      <c r="C11" t="str">
        <f>IF(F4&lt;1,"",C12)</f>
        <v>PowerCase</v>
      </c>
    </row>
    <row r="12" spans="1:6">
      <c r="A12" s="4" t="s">
        <v>112</v>
      </c>
      <c r="C12" t="str">
        <f>IF(F4&lt;4,"PowerCase",C13)</f>
        <v>PowerCase</v>
      </c>
    </row>
    <row r="13" spans="1:6">
      <c r="A13" s="3" t="s">
        <v>113</v>
      </c>
      <c r="C13" t="str">
        <f>IF(F4&lt;8,"DC5+PC",C14)</f>
        <v>DC5+PC</v>
      </c>
    </row>
    <row r="14" spans="1:6">
      <c r="A14" s="3"/>
      <c r="C14" t="s">
        <v>114</v>
      </c>
    </row>
    <row r="16" spans="1:6">
      <c r="A16" t="s">
        <v>14</v>
      </c>
    </row>
    <row r="17" spans="1:8">
      <c r="A17" t="s">
        <v>93</v>
      </c>
      <c r="C17">
        <f>C19</f>
        <v>14</v>
      </c>
    </row>
    <row r="18" spans="1:8">
      <c r="A18" t="s">
        <v>97</v>
      </c>
      <c r="C18">
        <f>'Ferroamp system MED Batteri'!$E$7*'Ferroamp system MED Batteri'!$E$8*'Ferroamp system MED Batteri'!E10/1000</f>
        <v>6.4016768000000006</v>
      </c>
    </row>
    <row r="19" spans="1:8">
      <c r="A19">
        <v>0.1</v>
      </c>
      <c r="C19">
        <f>IF(C$18&lt;$A$19,"",C20)</f>
        <v>14</v>
      </c>
    </row>
    <row r="20" spans="1:8">
      <c r="A20" s="4">
        <v>15.4</v>
      </c>
      <c r="B20" t="s">
        <v>11</v>
      </c>
      <c r="C20">
        <f>IF(C$18&lt;$A$20,14,C21)</f>
        <v>14</v>
      </c>
    </row>
    <row r="21" spans="1:8">
      <c r="A21" s="4">
        <v>23.1</v>
      </c>
      <c r="B21" t="s">
        <v>12</v>
      </c>
      <c r="C21">
        <f>IF(C$18&lt;$A$21,21,C22)</f>
        <v>21</v>
      </c>
    </row>
    <row r="22" spans="1:8">
      <c r="A22" s="4">
        <v>30.8</v>
      </c>
      <c r="B22" t="s">
        <v>13</v>
      </c>
      <c r="C22">
        <f>IF(C$18&lt;$A$22,28,C23)</f>
        <v>28</v>
      </c>
    </row>
    <row r="23" spans="1:8">
      <c r="A23" s="4">
        <v>46.2</v>
      </c>
      <c r="B23" t="s">
        <v>101</v>
      </c>
      <c r="C23">
        <f>IF(C$18&lt;$A$23,42,C24)</f>
        <v>42</v>
      </c>
    </row>
    <row r="24" spans="1:8">
      <c r="A24" s="4">
        <v>61.6</v>
      </c>
      <c r="B24" t="s">
        <v>102</v>
      </c>
      <c r="C24">
        <f>IF(C$18&lt;$A$24,56,C25)</f>
        <v>56</v>
      </c>
    </row>
    <row r="25" spans="1:8">
      <c r="A25" s="4"/>
      <c r="C25" t="s">
        <v>115</v>
      </c>
    </row>
    <row r="26" spans="1:8">
      <c r="A26" s="4"/>
    </row>
    <row r="27" spans="1:8">
      <c r="A27" t="s">
        <v>116</v>
      </c>
      <c r="C27">
        <v>5.12</v>
      </c>
      <c r="D27" t="s">
        <v>117</v>
      </c>
    </row>
    <row r="28" spans="1:8">
      <c r="A28" t="s">
        <v>118</v>
      </c>
      <c r="C28" s="31">
        <f>'Ferroamp system MED Batteri'!E13</f>
        <v>4</v>
      </c>
    </row>
    <row r="29" spans="1:8">
      <c r="A29" t="s">
        <v>97</v>
      </c>
    </row>
    <row r="30" spans="1:8">
      <c r="A30">
        <v>0</v>
      </c>
      <c r="C30">
        <f>IF(C$28=$A$30,"min 2",C31)</f>
        <v>4</v>
      </c>
      <c r="D30">
        <f>IF(C$28=$A30,0,D31)</f>
        <v>1</v>
      </c>
      <c r="G30" s="31"/>
      <c r="H30" s="31"/>
    </row>
    <row r="31" spans="1:8">
      <c r="A31" s="4">
        <v>1</v>
      </c>
      <c r="B31">
        <v>2</v>
      </c>
      <c r="C31">
        <f>IF(C$28=$A$31,"min 2st",C32)</f>
        <v>4</v>
      </c>
      <c r="D31">
        <f>IF(C$28=$A31,0,D32)</f>
        <v>1</v>
      </c>
      <c r="G31" s="31"/>
      <c r="H31" s="31"/>
    </row>
    <row r="32" spans="1:8">
      <c r="A32" s="4">
        <v>2</v>
      </c>
      <c r="B32">
        <v>2</v>
      </c>
      <c r="C32">
        <f>IF(C$28=$A$32,2,C33)</f>
        <v>4</v>
      </c>
      <c r="D32">
        <f>IF(C$28=$A32,1,D33)</f>
        <v>1</v>
      </c>
      <c r="G32" s="31"/>
      <c r="H32" s="31"/>
    </row>
    <row r="33" spans="1:8">
      <c r="A33" s="4">
        <v>3</v>
      </c>
      <c r="B33">
        <v>3</v>
      </c>
      <c r="C33">
        <f>IF(C$28=$A$33,3,C34)</f>
        <v>4</v>
      </c>
      <c r="D33">
        <f>IF(C$28=$A33,1,D34)</f>
        <v>1</v>
      </c>
      <c r="G33" s="31"/>
      <c r="H33" s="31"/>
    </row>
    <row r="34" spans="1:8">
      <c r="A34" s="4">
        <v>4</v>
      </c>
      <c r="B34">
        <v>4</v>
      </c>
      <c r="C34">
        <f>IF(C$28=$A$34,4,C35)</f>
        <v>4</v>
      </c>
      <c r="D34">
        <f>IF(C$28=$A34,1,D35)</f>
        <v>1</v>
      </c>
      <c r="G34" s="31"/>
      <c r="H34" s="31"/>
    </row>
    <row r="35" spans="1:8">
      <c r="A35" s="4">
        <v>5</v>
      </c>
      <c r="B35">
        <v>5</v>
      </c>
      <c r="C35" t="str">
        <f>IF(C$28=$A$35,5,C36)</f>
        <v>för stort batteri</v>
      </c>
      <c r="D35" t="str">
        <f>IF(C$28=$A35,1,D36)</f>
        <v>för stort batteri</v>
      </c>
      <c r="G35" s="31"/>
      <c r="H35" s="31"/>
    </row>
    <row r="36" spans="1:8">
      <c r="A36" s="4">
        <v>6</v>
      </c>
      <c r="B36">
        <v>6</v>
      </c>
      <c r="C36" t="str">
        <f>IF(C$28=$A$36,6,C37)</f>
        <v>för stort batteri</v>
      </c>
      <c r="D36" t="str">
        <f>IF(C$28=$A36,1,D37)</f>
        <v>för stort batteri</v>
      </c>
      <c r="G36" s="31"/>
      <c r="H36" s="31"/>
    </row>
    <row r="37" spans="1:8">
      <c r="A37" s="4"/>
      <c r="C37" t="s">
        <v>119</v>
      </c>
      <c r="D37" t="s">
        <v>119</v>
      </c>
    </row>
    <row r="38" spans="1:8">
      <c r="A38" s="4"/>
    </row>
    <row r="39" spans="1:8">
      <c r="A39" s="4"/>
    </row>
    <row r="40" spans="1:8">
      <c r="A40" s="4"/>
    </row>
    <row r="41" spans="1:8">
      <c r="A41" s="4"/>
    </row>
    <row r="42" spans="1:8">
      <c r="A42" s="4"/>
    </row>
    <row r="44" spans="1:8">
      <c r="A44" t="s">
        <v>106</v>
      </c>
    </row>
    <row r="45" spans="1:8">
      <c r="A45" t="s">
        <v>107</v>
      </c>
      <c r="C45">
        <f>C47</f>
        <v>2.5</v>
      </c>
      <c r="E45" t="s">
        <v>120</v>
      </c>
    </row>
    <row r="46" spans="1:8">
      <c r="A46" t="s">
        <v>97</v>
      </c>
      <c r="C46">
        <f>H46</f>
        <v>14</v>
      </c>
      <c r="E46" t="s">
        <v>21</v>
      </c>
      <c r="F46">
        <f>'Ferroamp system MED Batteri'!I13*'Ferroamp system MED Batteri'!G13*0.8265</f>
        <v>6.6120000000000001</v>
      </c>
      <c r="G46">
        <f>IF(F46&gt;F47,F46,F47)</f>
        <v>6.6120000000000001</v>
      </c>
      <c r="H46">
        <f>IF(F47&gt;F48,F47,F48)</f>
        <v>14</v>
      </c>
    </row>
    <row r="47" spans="1:8">
      <c r="A47" s="4">
        <v>0.1</v>
      </c>
      <c r="C47">
        <f>IF(C$46&lt;$A47,"",C48)</f>
        <v>2.5</v>
      </c>
      <c r="E47" t="s">
        <v>121</v>
      </c>
      <c r="F47">
        <f>'Ferroamp system MED Batteri'!E11</f>
        <v>6.4016768000000006</v>
      </c>
    </row>
    <row r="48" spans="1:8">
      <c r="A48" s="4">
        <v>12</v>
      </c>
      <c r="B48">
        <v>1.5</v>
      </c>
      <c r="C48">
        <f t="shared" ref="C48:C57" si="0">IF(C$46&lt;$A48,B48,C49)</f>
        <v>2.5</v>
      </c>
      <c r="E48" t="s">
        <v>122</v>
      </c>
      <c r="F48">
        <f>C17</f>
        <v>14</v>
      </c>
    </row>
    <row r="49" spans="1:3">
      <c r="A49" s="4">
        <v>18</v>
      </c>
      <c r="B49">
        <v>2.5</v>
      </c>
      <c r="C49">
        <f t="shared" si="0"/>
        <v>2.5</v>
      </c>
    </row>
    <row r="50" spans="1:3">
      <c r="A50" s="4">
        <v>24</v>
      </c>
      <c r="B50">
        <v>4</v>
      </c>
      <c r="C50">
        <f t="shared" si="0"/>
        <v>4</v>
      </c>
    </row>
    <row r="51" spans="1:3">
      <c r="A51" s="4">
        <v>31</v>
      </c>
      <c r="B51">
        <v>6</v>
      </c>
      <c r="C51">
        <f t="shared" si="0"/>
        <v>6</v>
      </c>
    </row>
    <row r="52" spans="1:3">
      <c r="A52" s="4">
        <v>43</v>
      </c>
      <c r="B52">
        <v>10</v>
      </c>
      <c r="C52">
        <f t="shared" si="0"/>
        <v>10</v>
      </c>
    </row>
    <row r="53" spans="1:3">
      <c r="A53" s="4">
        <v>57</v>
      </c>
      <c r="B53">
        <v>16</v>
      </c>
      <c r="C53">
        <f t="shared" si="0"/>
        <v>16</v>
      </c>
    </row>
    <row r="54" spans="1:3">
      <c r="A54" s="4">
        <v>76</v>
      </c>
      <c r="B54">
        <v>25</v>
      </c>
      <c r="C54">
        <f t="shared" si="0"/>
        <v>25</v>
      </c>
    </row>
    <row r="55" spans="1:3">
      <c r="A55" s="4">
        <v>94</v>
      </c>
      <c r="B55">
        <v>35</v>
      </c>
      <c r="C55">
        <f t="shared" si="0"/>
        <v>35</v>
      </c>
    </row>
    <row r="56" spans="1:3">
      <c r="A56" s="4">
        <v>114</v>
      </c>
      <c r="B56">
        <v>50</v>
      </c>
      <c r="C56">
        <f t="shared" si="0"/>
        <v>50</v>
      </c>
    </row>
    <row r="57" spans="1:3">
      <c r="A57" s="4">
        <v>145</v>
      </c>
      <c r="B57">
        <v>70</v>
      </c>
      <c r="C57">
        <f t="shared" si="0"/>
        <v>70</v>
      </c>
    </row>
    <row r="59" spans="1:3">
      <c r="A59" t="s">
        <v>111</v>
      </c>
    </row>
    <row r="60" spans="1:3">
      <c r="A60" t="s">
        <v>107</v>
      </c>
      <c r="C60">
        <f>C62</f>
        <v>4</v>
      </c>
    </row>
    <row r="61" spans="1:3">
      <c r="A61" t="s">
        <v>97</v>
      </c>
      <c r="C61">
        <f>C17</f>
        <v>14</v>
      </c>
    </row>
    <row r="62" spans="1:3">
      <c r="A62" s="4">
        <v>0.1</v>
      </c>
      <c r="B62">
        <v>2.5</v>
      </c>
      <c r="C62">
        <f>IF(C$61&lt;$A62,"",C63)</f>
        <v>4</v>
      </c>
    </row>
    <row r="63" spans="1:3">
      <c r="A63" s="4">
        <v>14</v>
      </c>
      <c r="B63">
        <v>2.5</v>
      </c>
      <c r="C63">
        <f t="shared" ref="C63:C72" si="1">IF(C$61&lt;$A63,B63,C64)</f>
        <v>4</v>
      </c>
    </row>
    <row r="64" spans="1:3">
      <c r="A64" s="4">
        <v>19</v>
      </c>
      <c r="B64">
        <v>4</v>
      </c>
      <c r="C64">
        <f t="shared" si="1"/>
        <v>4</v>
      </c>
    </row>
    <row r="65" spans="1:3">
      <c r="A65" s="4">
        <v>24</v>
      </c>
      <c r="B65">
        <v>6</v>
      </c>
      <c r="C65">
        <f t="shared" si="1"/>
        <v>6</v>
      </c>
    </row>
    <row r="66" spans="1:3">
      <c r="A66" s="4">
        <v>34</v>
      </c>
      <c r="B66">
        <v>10</v>
      </c>
      <c r="C66">
        <f t="shared" si="1"/>
        <v>10</v>
      </c>
    </row>
    <row r="67" spans="1:3">
      <c r="A67" s="4">
        <v>47</v>
      </c>
      <c r="B67">
        <v>16</v>
      </c>
      <c r="C67">
        <f t="shared" si="1"/>
        <v>16</v>
      </c>
    </row>
    <row r="68" spans="1:3">
      <c r="A68" s="4">
        <v>61</v>
      </c>
      <c r="B68">
        <v>25</v>
      </c>
      <c r="C68">
        <f t="shared" si="1"/>
        <v>25</v>
      </c>
    </row>
    <row r="69" spans="1:3">
      <c r="A69" s="4">
        <v>76</v>
      </c>
      <c r="B69">
        <v>35</v>
      </c>
      <c r="C69">
        <f t="shared" si="1"/>
        <v>35</v>
      </c>
    </row>
    <row r="70" spans="1:3">
      <c r="A70" s="4">
        <v>92</v>
      </c>
      <c r="B70">
        <v>50</v>
      </c>
      <c r="C70">
        <f t="shared" si="1"/>
        <v>50</v>
      </c>
    </row>
    <row r="71" spans="1:3">
      <c r="A71" s="4">
        <v>118</v>
      </c>
      <c r="B71">
        <v>70</v>
      </c>
      <c r="C71">
        <f t="shared" si="1"/>
        <v>70</v>
      </c>
    </row>
    <row r="72" spans="1:3">
      <c r="A72" s="4">
        <v>143</v>
      </c>
      <c r="B72">
        <v>95</v>
      </c>
      <c r="C72">
        <f t="shared" si="1"/>
        <v>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D33C2AD34FCB4D95F145D6B22CB422" ma:contentTypeVersion="15" ma:contentTypeDescription="Skapa ett nytt dokument." ma:contentTypeScope="" ma:versionID="08b30738920f0dd9cb66c4fb45623b3e">
  <xsd:schema xmlns:xsd="http://www.w3.org/2001/XMLSchema" xmlns:xs="http://www.w3.org/2001/XMLSchema" xmlns:p="http://schemas.microsoft.com/office/2006/metadata/properties" xmlns:ns2="caf400f6-d5de-4f38-921b-382befb17048" xmlns:ns3="9c6d8016-1e61-4faa-84c4-a15fb6ed553e" targetNamespace="http://schemas.microsoft.com/office/2006/metadata/properties" ma:root="true" ma:fieldsID="c4dd0391fbebab46c1e9500c462db2b0" ns2:_="" ns3:_="">
    <xsd:import namespace="caf400f6-d5de-4f38-921b-382befb17048"/>
    <xsd:import namespace="9c6d8016-1e61-4faa-84c4-a15fb6ed55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400f6-d5de-4f38-921b-382befb170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e67b4490-00f1-4007-942c-8ff910cd74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d8016-1e61-4faa-84c4-a15fb6ed5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192aecb-9dc6-4954-94f6-80a50f3c2c69}" ma:internalName="TaxCatchAll" ma:showField="CatchAllData" ma:web="9c6d8016-1e61-4faa-84c4-a15fb6ed5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I D A A B Q S w M E F A A C A A g A H Y K N W d K B b K 2 k A A A A 9 Q A A A B I A H A B D b 2 5 m a W c v U G F j a 2 F n Z S 5 4 b W w g o h g A K K A U A A A A A A A A A A A A A A A A A A A A A A A A A A A A h Y 9 B D o I w F E S v Q r q n L R C j I Z + y M O 4 k M S E x b k m p 0 A g f Q 4 v l b i 4 8 k l c Q o 6 g 7 l / P m L W b u 1 x u k Y 9 t 4 F 9 U b 3 W F C A s q J p 1 B 2 p c Y q I Y M 9 + i u S C t g V 8 l R U y p t k N P F o y o T U 1 p 5 j x p x z 1 E W 0 6 y s W c h 6 w Q 7 b N Z a 3 a g n x k / V / 2 N R p b o F R E w P 4 1 R o Q 0 i C K 6 W F I O b G a Q a f z 2 4 T T 3 2 f 5 A W A + N H X o l F P r 5 B t g c g b 0 v i A d Q S w M E F A A C A A g A H Y K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2 C j V m f O e C d r A A A A N c A A A A T A B w A R m 9 y b X V s Y X M v U 2 V j d G l v b j E u b S C i G A A o o B Q A A A A A A A A A A A A A A A A A A A A A A A A A A A A r T k 0 u y c z P U w i G 0 I b W v F y 8 X M U Z i U W p K Q o h i U m p O T m G C r Y K O a k l v F w K Q O B 9 e E l O T i J Q x L U i O T V H z 7 m 0 q C g 1 r y Q 8 v y g 7 K T 8 / W 0 O z O t o v M T f V V g m q V S m 2 N t o 5 P 6 8 E q C Z W B 2 K C s t L h l r y U o s Q U h Z L K A i W g S U C l O a l 6 I U W J e c V p + U W 5 z v k 5 p b l 5 I Z U F q c U a E N t 0 q q u V v M G i h k o 6 C p 5 5 J W Y m e i D 5 2 l p N X q 7 M P G z G W g M A U E s B A i 0 A F A A C A A g A H Y K N W d K B b K 2 k A A A A 9 Q A A A B I A A A A A A A A A A A A A A A A A A A A A A E N v b m Z p Z y 9 Q Y W N r Y W d l L n h t b F B L A Q I t A B Q A A g A I A B 2 C j V k P y u m r p A A A A O k A A A A T A A A A A A A A A A A A A A A A A P A A A A B b Q 2 9 u d G V u d F 9 U e X B l c 1 0 u e G 1 s U E s B A i 0 A F A A C A A g A H Y K N W Z 8 5 4 J 2 s A A A A 1 w A A A B M A A A A A A A A A A A A A A A A A 4 Q E A A E Z v c m 1 1 b G F z L 1 N l Y 3 R p b 2 4 x L m 1 Q S w U G A A A A A A M A A w D C A A A A 2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Q g A A A A A A A D z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l Z T h h Y T U 0 M C 1 k O T E w L T Q 3 Z W Q t O D V k M y 0 4 Y m Y x Z j Z i M T E 0 M m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V y a W 5 n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T N U M T U 6 M T Y 6 N D E u N z Y 3 O T A y M V o i I C 8 + P E V u d H J 5 I F R 5 c G U 9 I k Z p b G x D b 2 x 1 b W 5 U e X B l c y I g V m F s d W U 9 I n N B d z 0 9 I i A v P j x F b n R y e S B U e X B l P S J G a W x s Q 2 9 s d W 1 u T m F t Z X M i I F Z h b H V l P S J z W y Z x d W 9 0 O 0 t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w x L 0 F 1 d G 9 S Z W 1 v d m V k Q 2 9 s d W 1 u c z E u e 0 t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s M S 9 B d X R v U m V t b 3 Z l Z E N v b H V t b n M x L n t L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w x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x L y V D M y U 4 N G 5 k c m F k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Y 6 Z 1 M Y s e 1 B i 6 N m B s E x X N w A A A A A A g A A A A A A E G Y A A A A B A A A g A A A A f 2 s 2 P b q r v A E 2 K B 0 j y 7 n W v z w t j S s n v c z 5 B L z x 2 6 m V O R g A A A A A D o A A A A A C A A A g A A A A P h v + q 7 A w U 8 A r I 3 y 4 5 f m 0 b / B h a k j D b l 3 v N k h w 5 k Y a 6 a l Q A A A A f R K a J 7 U E x 3 8 8 q y i B p z E b Z D 4 h o j 8 t C G J i 2 B E K 1 i U l k 7 G K c v + 7 5 P t K p V E E Z k 6 2 R R i T n p U R Q U O P O o 1 3 9 C 3 q C I T O k q C F K t s n n R q j L H E l W O J 1 c j t A A A A A e M t s I a 1 B K / l E J O f u b S y C f t g i v u + 8 i V 7 m G Y 9 U U e + B J 3 R b 9 G G N M U B 7 d H Z N T M 2 7 9 y v t w 6 3 q b P P r c t A m q M R v d r t i L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6d8016-1e61-4faa-84c4-a15fb6ed553e" xsi:nil="true"/>
    <lcf76f155ced4ddcb4097134ff3c332f xmlns="caf400f6-d5de-4f38-921b-382befb170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7E7A8B-7FEC-4091-8192-B45342D284F0}"/>
</file>

<file path=customXml/itemProps2.xml><?xml version="1.0" encoding="utf-8"?>
<ds:datastoreItem xmlns:ds="http://schemas.openxmlformats.org/officeDocument/2006/customXml" ds:itemID="{C8A8AAB6-752E-49AE-A71E-F10D8DFF3179}"/>
</file>

<file path=customXml/itemProps3.xml><?xml version="1.0" encoding="utf-8"?>
<ds:datastoreItem xmlns:ds="http://schemas.openxmlformats.org/officeDocument/2006/customXml" ds:itemID="{03EC4FC9-2E91-4345-8D0F-F70036DA3C3E}"/>
</file>

<file path=customXml/itemProps4.xml><?xml version="1.0" encoding="utf-8"?>
<ds:datastoreItem xmlns:ds="http://schemas.openxmlformats.org/officeDocument/2006/customXml" ds:itemID="{41101BC4-F219-47C7-8497-D3E5F21DF6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Mattias Stragne</dc:creator>
  <cp:keywords/>
  <dc:description/>
  <cp:lastModifiedBy/>
  <cp:revision/>
  <dcterms:created xsi:type="dcterms:W3CDTF">2024-11-22T13:32:32Z</dcterms:created>
  <dcterms:modified xsi:type="dcterms:W3CDTF">2025-08-25T12:57:00Z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0x0101008DD33C2AD34FCB4D95F145D6B22CB422</vt:lpwstr>
  </property>
  <property fmtid="{D5CDD505-2E9C-101B-9397-08002B2CF9AE}" pid="3" name="MediaServiceImageTags">
    <vt:lpwstr/>
  </property>
</Properties>
</file>